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4426"/>
  <workbookPr autoCompressPictures="0"/>
  <bookViews>
    <workbookView xWindow="0" yWindow="0" windowWidth="24000" windowHeight="16280" tabRatio="987" activeTab="1"/>
  </bookViews>
  <sheets>
    <sheet name="Data &amp; Assumptions" sheetId="1" r:id="rId1"/>
    <sheet name="New rates &amp; Overrides" sheetId="2" r:id="rId2"/>
    <sheet name="Results summary" sheetId="7" r:id="rId3"/>
    <sheet name="C_Distribution" sheetId="8" r:id="rId4"/>
    <sheet name="Model" sheetId="9" r:id="rId5"/>
    <sheet name="Distribution" sheetId="10" r:id="rId6"/>
    <sheet name="EurostatBase" sheetId="11" r:id="rId7"/>
    <sheet name="Tourist spending" sheetId="12" r:id="rId8"/>
  </sheets>
  <definedNames>
    <definedName name="cash">'Data &amp; Assumptions'!$M$12</definedName>
    <definedName name="compliance">'Data &amp; Assumptions'!$M$13</definedName>
    <definedName name="islands">'Data &amp; Assumptions'!$M$10</definedName>
    <definedName name="islandstourists">'Data &amp; Assumptions'!$M$11</definedName>
    <definedName name="low">'Data &amp; Assumptions'!$M$3</definedName>
    <definedName name="noncashcompliance">'Data &amp; Assumptions'!#REF!</definedName>
    <definedName name="standard">'Data &amp; Assumptions'!$M$4</definedName>
    <definedName name="Surcharge">'Data &amp; Assumptions'!$M$5</definedName>
    <definedName name="vlow">'Data &amp; Assumptions'!$M$2</definedName>
  </definedNames>
  <calcPr calcId="140001" iterateDelta="1E-4" concurrentCalc="0"/>
  <extLst>
    <ext xmlns:mx="http://schemas.microsoft.com/office/mac/excel/2008/main" uri="{7523E5D3-25F3-A5E0-1632-64F254C22452}">
      <mx:ArchID Flags="2"/>
    </ext>
  </extLst>
</workbook>
</file>

<file path=xl/calcChain.xml><?xml version="1.0" encoding="utf-8"?>
<calcChain xmlns="http://schemas.openxmlformats.org/spreadsheetml/2006/main">
  <c r="B15" i="12" l="1"/>
  <c r="C15" i="12"/>
  <c r="C14" i="12"/>
  <c r="C13" i="12"/>
  <c r="C12" i="12"/>
  <c r="C11" i="12"/>
  <c r="C10" i="12"/>
  <c r="C9" i="12"/>
  <c r="C8" i="12"/>
  <c r="C7" i="12"/>
  <c r="C6" i="12"/>
  <c r="C5" i="12"/>
  <c r="C4" i="12"/>
  <c r="C3" i="12"/>
  <c r="C2" i="12"/>
  <c r="T3" i="11"/>
  <c r="T4" i="11"/>
  <c r="T5" i="11"/>
  <c r="T6" i="11"/>
  <c r="T7" i="11"/>
  <c r="T8" i="11"/>
  <c r="T9" i="11"/>
  <c r="T10" i="11"/>
  <c r="T11" i="11"/>
  <c r="T12" i="11"/>
  <c r="T13" i="11"/>
  <c r="T14" i="11"/>
  <c r="T15" i="11"/>
  <c r="T16" i="11"/>
  <c r="T17" i="11"/>
  <c r="T18" i="11"/>
  <c r="T19" i="11"/>
  <c r="T20" i="11"/>
  <c r="T21" i="11"/>
  <c r="T22" i="11"/>
  <c r="T23" i="11"/>
  <c r="T24" i="11"/>
  <c r="T25" i="11"/>
  <c r="T26" i="11"/>
  <c r="T27" i="11"/>
  <c r="T28" i="11"/>
  <c r="T29" i="11"/>
  <c r="T30" i="11"/>
  <c r="T31" i="11"/>
  <c r="T32" i="11"/>
  <c r="T33" i="11"/>
  <c r="T34" i="11"/>
  <c r="T35" i="11"/>
  <c r="T36" i="11"/>
  <c r="T37" i="11"/>
  <c r="T38" i="11"/>
  <c r="T39" i="11"/>
  <c r="T40" i="11"/>
  <c r="T41" i="11"/>
  <c r="T42" i="11"/>
  <c r="T43" i="11"/>
  <c r="T44" i="11"/>
  <c r="T45" i="11"/>
  <c r="T46" i="11"/>
  <c r="T47" i="11"/>
  <c r="T48" i="11"/>
  <c r="S48" i="11"/>
  <c r="R48" i="11"/>
  <c r="Q48" i="11"/>
  <c r="P48" i="11"/>
  <c r="O48" i="11"/>
  <c r="N48" i="11"/>
  <c r="M48" i="11"/>
  <c r="L48" i="11"/>
  <c r="K48" i="11"/>
  <c r="J48" i="11"/>
  <c r="I48" i="11"/>
  <c r="H48" i="11"/>
  <c r="G48" i="11"/>
  <c r="F48" i="11"/>
  <c r="E48" i="11"/>
  <c r="B48" i="11"/>
  <c r="L26" i="10"/>
  <c r="L44" i="10"/>
  <c r="L27" i="10"/>
  <c r="L45" i="10"/>
  <c r="L28" i="10"/>
  <c r="L46" i="10"/>
  <c r="L29" i="10"/>
  <c r="L47" i="10"/>
  <c r="L30" i="10"/>
  <c r="L48" i="10"/>
  <c r="L31" i="10"/>
  <c r="L49" i="10"/>
  <c r="L32" i="10"/>
  <c r="L50" i="10"/>
  <c r="L33" i="10"/>
  <c r="L51" i="10"/>
  <c r="L34" i="10"/>
  <c r="L52" i="10"/>
  <c r="L35" i="10"/>
  <c r="L53" i="10"/>
  <c r="L36" i="10"/>
  <c r="L54" i="10"/>
  <c r="L37" i="10"/>
  <c r="L55" i="10"/>
  <c r="L38" i="10"/>
  <c r="L56" i="10"/>
  <c r="L39" i="10"/>
  <c r="L57" i="10"/>
  <c r="L40" i="10"/>
  <c r="L58" i="10"/>
  <c r="L59" i="10"/>
  <c r="K26" i="10"/>
  <c r="K44" i="10"/>
  <c r="K27" i="10"/>
  <c r="K45" i="10"/>
  <c r="K28" i="10"/>
  <c r="K46" i="10"/>
  <c r="K29" i="10"/>
  <c r="K47" i="10"/>
  <c r="K30" i="10"/>
  <c r="K48" i="10"/>
  <c r="K31" i="10"/>
  <c r="K49" i="10"/>
  <c r="K32" i="10"/>
  <c r="K50" i="10"/>
  <c r="K33" i="10"/>
  <c r="K51" i="10"/>
  <c r="K34" i="10"/>
  <c r="K52" i="10"/>
  <c r="K53" i="10"/>
  <c r="K36" i="10"/>
  <c r="K54" i="10"/>
  <c r="K37" i="10"/>
  <c r="K55" i="10"/>
  <c r="K38" i="10"/>
  <c r="K56" i="10"/>
  <c r="K39" i="10"/>
  <c r="K57" i="10"/>
  <c r="K40" i="10"/>
  <c r="K58" i="10"/>
  <c r="K59" i="10"/>
  <c r="J26" i="10"/>
  <c r="J44" i="10"/>
  <c r="J27" i="10"/>
  <c r="J45" i="10"/>
  <c r="J28" i="10"/>
  <c r="J46" i="10"/>
  <c r="J29" i="10"/>
  <c r="J47" i="10"/>
  <c r="J30" i="10"/>
  <c r="J48" i="10"/>
  <c r="J31" i="10"/>
  <c r="J49" i="10"/>
  <c r="J32" i="10"/>
  <c r="J50" i="10"/>
  <c r="J33" i="10"/>
  <c r="J51" i="10"/>
  <c r="J34" i="10"/>
  <c r="J52" i="10"/>
  <c r="J53" i="10"/>
  <c r="J36" i="10"/>
  <c r="J54" i="10"/>
  <c r="J37" i="10"/>
  <c r="J55" i="10"/>
  <c r="J38" i="10"/>
  <c r="J56" i="10"/>
  <c r="J39" i="10"/>
  <c r="J57" i="10"/>
  <c r="J40" i="10"/>
  <c r="J58" i="10"/>
  <c r="J59" i="10"/>
  <c r="I26" i="10"/>
  <c r="I44" i="10"/>
  <c r="I27" i="10"/>
  <c r="I45" i="10"/>
  <c r="I28" i="10"/>
  <c r="I46" i="10"/>
  <c r="I29" i="10"/>
  <c r="I47" i="10"/>
  <c r="I30" i="10"/>
  <c r="I48" i="10"/>
  <c r="I31" i="10"/>
  <c r="I49" i="10"/>
  <c r="I32" i="10"/>
  <c r="I50" i="10"/>
  <c r="I33" i="10"/>
  <c r="I51" i="10"/>
  <c r="I34" i="10"/>
  <c r="I52" i="10"/>
  <c r="I53" i="10"/>
  <c r="I36" i="10"/>
  <c r="I54" i="10"/>
  <c r="I37" i="10"/>
  <c r="I55" i="10"/>
  <c r="I38" i="10"/>
  <c r="I56" i="10"/>
  <c r="I39" i="10"/>
  <c r="I57" i="10"/>
  <c r="I40" i="10"/>
  <c r="I58" i="10"/>
  <c r="I59" i="10"/>
  <c r="H26" i="10"/>
  <c r="H44" i="10"/>
  <c r="H27" i="10"/>
  <c r="H45" i="10"/>
  <c r="H28" i="10"/>
  <c r="H46" i="10"/>
  <c r="H29" i="10"/>
  <c r="H47" i="10"/>
  <c r="H30" i="10"/>
  <c r="H48" i="10"/>
  <c r="H31" i="10"/>
  <c r="H49" i="10"/>
  <c r="H32" i="10"/>
  <c r="H50" i="10"/>
  <c r="H33" i="10"/>
  <c r="H51" i="10"/>
  <c r="H34" i="10"/>
  <c r="H52" i="10"/>
  <c r="H36" i="10"/>
  <c r="H54" i="10"/>
  <c r="H37" i="10"/>
  <c r="H55" i="10"/>
  <c r="H38" i="10"/>
  <c r="H56" i="10"/>
  <c r="H39" i="10"/>
  <c r="H57" i="10"/>
  <c r="H40" i="10"/>
  <c r="H58" i="10"/>
  <c r="H59" i="10"/>
  <c r="G26" i="10"/>
  <c r="G44" i="10"/>
  <c r="G27" i="10"/>
  <c r="G45" i="10"/>
  <c r="G28" i="10"/>
  <c r="G46" i="10"/>
  <c r="G29" i="10"/>
  <c r="G47" i="10"/>
  <c r="G30" i="10"/>
  <c r="G48" i="10"/>
  <c r="G31" i="10"/>
  <c r="G49" i="10"/>
  <c r="G32" i="10"/>
  <c r="G50" i="10"/>
  <c r="G33" i="10"/>
  <c r="G51" i="10"/>
  <c r="G34" i="10"/>
  <c r="G52" i="10"/>
  <c r="G36" i="10"/>
  <c r="G54" i="10"/>
  <c r="G37" i="10"/>
  <c r="G55" i="10"/>
  <c r="G38" i="10"/>
  <c r="G56" i="10"/>
  <c r="G39" i="10"/>
  <c r="G57" i="10"/>
  <c r="G40" i="10"/>
  <c r="G58" i="10"/>
  <c r="G59" i="10"/>
  <c r="F26" i="10"/>
  <c r="F44" i="10"/>
  <c r="F27" i="10"/>
  <c r="F45" i="10"/>
  <c r="F28" i="10"/>
  <c r="F46" i="10"/>
  <c r="F29" i="10"/>
  <c r="F47" i="10"/>
  <c r="F30" i="10"/>
  <c r="F48" i="10"/>
  <c r="F31" i="10"/>
  <c r="F49" i="10"/>
  <c r="F32" i="10"/>
  <c r="F50" i="10"/>
  <c r="F33" i="10"/>
  <c r="F51" i="10"/>
  <c r="F34" i="10"/>
  <c r="F52" i="10"/>
  <c r="F36" i="10"/>
  <c r="F54" i="10"/>
  <c r="F37" i="10"/>
  <c r="F55" i="10"/>
  <c r="F38" i="10"/>
  <c r="F56" i="10"/>
  <c r="F39" i="10"/>
  <c r="F57" i="10"/>
  <c r="F40" i="10"/>
  <c r="F58" i="10"/>
  <c r="F59" i="10"/>
  <c r="E26" i="10"/>
  <c r="E44" i="10"/>
  <c r="E27" i="10"/>
  <c r="E45" i="10"/>
  <c r="E28" i="10"/>
  <c r="E46" i="10"/>
  <c r="E29" i="10"/>
  <c r="E47" i="10"/>
  <c r="E30" i="10"/>
  <c r="E48" i="10"/>
  <c r="E31" i="10"/>
  <c r="E49" i="10"/>
  <c r="E32" i="10"/>
  <c r="E50" i="10"/>
  <c r="E33" i="10"/>
  <c r="E51" i="10"/>
  <c r="E34" i="10"/>
  <c r="E52" i="10"/>
  <c r="E36" i="10"/>
  <c r="E54" i="10"/>
  <c r="E37" i="10"/>
  <c r="E55" i="10"/>
  <c r="E38" i="10"/>
  <c r="E56" i="10"/>
  <c r="E39" i="10"/>
  <c r="E57" i="10"/>
  <c r="E40" i="10"/>
  <c r="E58" i="10"/>
  <c r="E59" i="10"/>
  <c r="D26" i="10"/>
  <c r="D44" i="10"/>
  <c r="D27" i="10"/>
  <c r="D45" i="10"/>
  <c r="D28" i="10"/>
  <c r="D46" i="10"/>
  <c r="D29" i="10"/>
  <c r="D47" i="10"/>
  <c r="D30" i="10"/>
  <c r="D48" i="10"/>
  <c r="D31" i="10"/>
  <c r="D49" i="10"/>
  <c r="D32" i="10"/>
  <c r="D50" i="10"/>
  <c r="D33" i="10"/>
  <c r="D51" i="10"/>
  <c r="D34" i="10"/>
  <c r="D52" i="10"/>
  <c r="D36" i="10"/>
  <c r="D54" i="10"/>
  <c r="D37" i="10"/>
  <c r="D55" i="10"/>
  <c r="D38" i="10"/>
  <c r="D56" i="10"/>
  <c r="D39" i="10"/>
  <c r="D57" i="10"/>
  <c r="D40" i="10"/>
  <c r="D58" i="10"/>
  <c r="D59" i="10"/>
  <c r="C26" i="10"/>
  <c r="C44" i="10"/>
  <c r="C27" i="10"/>
  <c r="C45" i="10"/>
  <c r="C28" i="10"/>
  <c r="C46" i="10"/>
  <c r="C29" i="10"/>
  <c r="C47" i="10"/>
  <c r="C30" i="10"/>
  <c r="C48" i="10"/>
  <c r="C31" i="10"/>
  <c r="C49" i="10"/>
  <c r="C32" i="10"/>
  <c r="C50" i="10"/>
  <c r="C33" i="10"/>
  <c r="C51" i="10"/>
  <c r="C34" i="10"/>
  <c r="C52" i="10"/>
  <c r="C36" i="10"/>
  <c r="C54" i="10"/>
  <c r="C37" i="10"/>
  <c r="C55" i="10"/>
  <c r="C38" i="10"/>
  <c r="C56" i="10"/>
  <c r="C39" i="10"/>
  <c r="C57" i="10"/>
  <c r="C40" i="10"/>
  <c r="C58" i="10"/>
  <c r="C59" i="10"/>
  <c r="B26" i="10"/>
  <c r="B44" i="10"/>
  <c r="B27" i="10"/>
  <c r="B45" i="10"/>
  <c r="B28" i="10"/>
  <c r="B46" i="10"/>
  <c r="B29" i="10"/>
  <c r="B47" i="10"/>
  <c r="B30" i="10"/>
  <c r="B48" i="10"/>
  <c r="B31" i="10"/>
  <c r="B49" i="10"/>
  <c r="B32" i="10"/>
  <c r="B50" i="10"/>
  <c r="B33" i="10"/>
  <c r="B51" i="10"/>
  <c r="B34" i="10"/>
  <c r="B52" i="10"/>
  <c r="B36" i="10"/>
  <c r="B54" i="10"/>
  <c r="B37" i="10"/>
  <c r="B55" i="10"/>
  <c r="B38" i="10"/>
  <c r="B56" i="10"/>
  <c r="B39" i="10"/>
  <c r="B57" i="10"/>
  <c r="B40" i="10"/>
  <c r="B58" i="10"/>
  <c r="B59" i="10"/>
  <c r="A59" i="10"/>
  <c r="A58" i="10"/>
  <c r="A57" i="10"/>
  <c r="A56" i="10"/>
  <c r="A55" i="10"/>
  <c r="A54" i="10"/>
  <c r="A53" i="10"/>
  <c r="A52" i="10"/>
  <c r="A51" i="10"/>
  <c r="A50" i="10"/>
  <c r="A49" i="10"/>
  <c r="A48" i="10"/>
  <c r="A46" i="10"/>
  <c r="A45" i="10"/>
  <c r="A44" i="10"/>
  <c r="L41" i="10"/>
  <c r="K41" i="10"/>
  <c r="J41" i="10"/>
  <c r="I41" i="10"/>
  <c r="H41" i="10"/>
  <c r="G41" i="10"/>
  <c r="F41" i="10"/>
  <c r="E41" i="10"/>
  <c r="D41" i="10"/>
  <c r="C41" i="10"/>
  <c r="B41" i="10"/>
  <c r="C4" i="9"/>
  <c r="C5" i="9"/>
  <c r="C6" i="9"/>
  <c r="C7" i="9"/>
  <c r="C8" i="9"/>
  <c r="C9" i="9"/>
  <c r="C10" i="9"/>
  <c r="C11" i="9"/>
  <c r="C12" i="9"/>
  <c r="C13" i="9"/>
  <c r="C14" i="9"/>
  <c r="C15" i="9"/>
  <c r="C16" i="9"/>
  <c r="C17" i="9"/>
  <c r="C18" i="9"/>
  <c r="C19" i="9"/>
  <c r="C22" i="9"/>
  <c r="C23" i="9"/>
  <c r="C24" i="9"/>
  <c r="C25" i="9"/>
  <c r="C26" i="9"/>
  <c r="C27" i="9"/>
  <c r="C28" i="9"/>
  <c r="C29" i="9"/>
  <c r="C30" i="9"/>
  <c r="C31" i="9"/>
  <c r="C32" i="9"/>
  <c r="C33" i="9"/>
  <c r="C34" i="9"/>
  <c r="C35" i="9"/>
  <c r="C36" i="9"/>
  <c r="C37" i="9"/>
  <c r="C56" i="9"/>
  <c r="D24" i="1"/>
  <c r="D25" i="1"/>
  <c r="M11" i="1"/>
  <c r="C59" i="9"/>
  <c r="C67" i="9"/>
  <c r="C75" i="9"/>
  <c r="D26" i="1"/>
  <c r="C60" i="9"/>
  <c r="C68" i="9"/>
  <c r="C76" i="9"/>
  <c r="D27" i="1"/>
  <c r="C61" i="9"/>
  <c r="C69" i="9"/>
  <c r="C77" i="9"/>
  <c r="D28" i="1"/>
  <c r="C62" i="9"/>
  <c r="C70" i="9"/>
  <c r="C78" i="9"/>
  <c r="D29" i="1"/>
  <c r="C63" i="9"/>
  <c r="C71" i="9"/>
  <c r="C79" i="9"/>
  <c r="C80" i="9"/>
  <c r="C138" i="9"/>
  <c r="F3" i="2"/>
  <c r="E4" i="9"/>
  <c r="L4" i="9"/>
  <c r="E3" i="2"/>
  <c r="K4" i="9"/>
  <c r="C3" i="2"/>
  <c r="J4" i="9"/>
  <c r="D4" i="9"/>
  <c r="M4" i="9"/>
  <c r="N4" i="9"/>
  <c r="O4" i="9"/>
  <c r="P4" i="9"/>
  <c r="P84" i="9"/>
  <c r="L22" i="9"/>
  <c r="K22" i="9"/>
  <c r="J22" i="9"/>
  <c r="D22" i="9"/>
  <c r="M22" i="9"/>
  <c r="N22" i="9"/>
  <c r="O22" i="9"/>
  <c r="P22" i="9"/>
  <c r="P103" i="9"/>
  <c r="P122" i="9"/>
  <c r="F4" i="2"/>
  <c r="E5" i="9"/>
  <c r="L5" i="9"/>
  <c r="E4" i="2"/>
  <c r="K5" i="9"/>
  <c r="C4" i="2"/>
  <c r="J5" i="9"/>
  <c r="D5" i="9"/>
  <c r="M5" i="9"/>
  <c r="N5" i="9"/>
  <c r="O5" i="9"/>
  <c r="P5" i="9"/>
  <c r="P85" i="9"/>
  <c r="L23" i="9"/>
  <c r="K23" i="9"/>
  <c r="J23" i="9"/>
  <c r="D23" i="9"/>
  <c r="M23" i="9"/>
  <c r="N23" i="9"/>
  <c r="O23" i="9"/>
  <c r="P23" i="9"/>
  <c r="P104" i="9"/>
  <c r="P123" i="9"/>
  <c r="F5" i="2"/>
  <c r="E6" i="9"/>
  <c r="L6" i="9"/>
  <c r="E5" i="2"/>
  <c r="K6" i="9"/>
  <c r="C5" i="2"/>
  <c r="J6" i="9"/>
  <c r="D6" i="9"/>
  <c r="M6" i="9"/>
  <c r="N6" i="9"/>
  <c r="O6" i="9"/>
  <c r="P6" i="9"/>
  <c r="P86" i="9"/>
  <c r="L24" i="9"/>
  <c r="K24" i="9"/>
  <c r="J24" i="9"/>
  <c r="D24" i="9"/>
  <c r="M24" i="9"/>
  <c r="N24" i="9"/>
  <c r="O24" i="9"/>
  <c r="P24" i="9"/>
  <c r="P105" i="9"/>
  <c r="P124" i="9"/>
  <c r="F6" i="2"/>
  <c r="E7" i="9"/>
  <c r="L7" i="9"/>
  <c r="E6" i="2"/>
  <c r="K7" i="9"/>
  <c r="C6" i="2"/>
  <c r="J7" i="9"/>
  <c r="D7" i="9"/>
  <c r="M7" i="9"/>
  <c r="N7" i="9"/>
  <c r="O7" i="9"/>
  <c r="P7" i="9"/>
  <c r="P87" i="9"/>
  <c r="L25" i="9"/>
  <c r="K25" i="9"/>
  <c r="J25" i="9"/>
  <c r="D25" i="9"/>
  <c r="M25" i="9"/>
  <c r="N25" i="9"/>
  <c r="O25" i="9"/>
  <c r="P25" i="9"/>
  <c r="P106" i="9"/>
  <c r="P125" i="9"/>
  <c r="F7" i="2"/>
  <c r="E8" i="9"/>
  <c r="L8" i="9"/>
  <c r="E7" i="2"/>
  <c r="K8" i="9"/>
  <c r="C7" i="2"/>
  <c r="J8" i="9"/>
  <c r="D8" i="9"/>
  <c r="M8" i="9"/>
  <c r="N8" i="9"/>
  <c r="O8" i="9"/>
  <c r="P8" i="9"/>
  <c r="P88" i="9"/>
  <c r="L26" i="9"/>
  <c r="K26" i="9"/>
  <c r="J26" i="9"/>
  <c r="D26" i="9"/>
  <c r="M26" i="9"/>
  <c r="N26" i="9"/>
  <c r="O26" i="9"/>
  <c r="P26" i="9"/>
  <c r="P107" i="9"/>
  <c r="P126" i="9"/>
  <c r="F8" i="2"/>
  <c r="E9" i="9"/>
  <c r="L9" i="9"/>
  <c r="E8" i="2"/>
  <c r="K9" i="9"/>
  <c r="C8" i="2"/>
  <c r="J9" i="9"/>
  <c r="D9" i="9"/>
  <c r="M9" i="9"/>
  <c r="N9" i="9"/>
  <c r="O9" i="9"/>
  <c r="P9" i="9"/>
  <c r="P89" i="9"/>
  <c r="L27" i="9"/>
  <c r="K27" i="9"/>
  <c r="J27" i="9"/>
  <c r="D27" i="9"/>
  <c r="M27" i="9"/>
  <c r="N27" i="9"/>
  <c r="O27" i="9"/>
  <c r="P27" i="9"/>
  <c r="P108" i="9"/>
  <c r="P127" i="9"/>
  <c r="F9" i="2"/>
  <c r="E10" i="9"/>
  <c r="L10" i="9"/>
  <c r="E9" i="2"/>
  <c r="K10" i="9"/>
  <c r="C9" i="2"/>
  <c r="J10" i="9"/>
  <c r="D10" i="9"/>
  <c r="M10" i="9"/>
  <c r="N10" i="9"/>
  <c r="O10" i="9"/>
  <c r="P10" i="9"/>
  <c r="P90" i="9"/>
  <c r="L28" i="9"/>
  <c r="K28" i="9"/>
  <c r="J28" i="9"/>
  <c r="D28" i="9"/>
  <c r="M28" i="9"/>
  <c r="N28" i="9"/>
  <c r="O28" i="9"/>
  <c r="P28" i="9"/>
  <c r="P109" i="9"/>
  <c r="P128" i="9"/>
  <c r="F10" i="2"/>
  <c r="E11" i="9"/>
  <c r="L11" i="9"/>
  <c r="E10" i="2"/>
  <c r="K11" i="9"/>
  <c r="C10" i="2"/>
  <c r="J11" i="9"/>
  <c r="D11" i="9"/>
  <c r="M11" i="9"/>
  <c r="N11" i="9"/>
  <c r="O11" i="9"/>
  <c r="P11" i="9"/>
  <c r="P91" i="9"/>
  <c r="L29" i="9"/>
  <c r="K29" i="9"/>
  <c r="J29" i="9"/>
  <c r="D29" i="9"/>
  <c r="M29" i="9"/>
  <c r="N29" i="9"/>
  <c r="O29" i="9"/>
  <c r="P29" i="9"/>
  <c r="P110" i="9"/>
  <c r="P129" i="9"/>
  <c r="F11" i="2"/>
  <c r="E12" i="9"/>
  <c r="L12" i="9"/>
  <c r="E11" i="2"/>
  <c r="K12" i="9"/>
  <c r="C11" i="2"/>
  <c r="J12" i="9"/>
  <c r="D12" i="9"/>
  <c r="M12" i="9"/>
  <c r="N12" i="9"/>
  <c r="O12" i="9"/>
  <c r="P12" i="9"/>
  <c r="P92" i="9"/>
  <c r="L30" i="9"/>
  <c r="K30" i="9"/>
  <c r="J30" i="9"/>
  <c r="D30" i="9"/>
  <c r="M30" i="9"/>
  <c r="N30" i="9"/>
  <c r="O30" i="9"/>
  <c r="P30" i="9"/>
  <c r="P111" i="9"/>
  <c r="P130" i="9"/>
  <c r="F12" i="2"/>
  <c r="E13" i="9"/>
  <c r="L13" i="9"/>
  <c r="E12" i="2"/>
  <c r="K13" i="9"/>
  <c r="C12" i="2"/>
  <c r="J13" i="9"/>
  <c r="D13" i="9"/>
  <c r="M13" i="9"/>
  <c r="N13" i="9"/>
  <c r="O13" i="9"/>
  <c r="P13" i="9"/>
  <c r="L59" i="9"/>
  <c r="K59" i="9"/>
  <c r="J59" i="9"/>
  <c r="D59" i="9"/>
  <c r="M59" i="9"/>
  <c r="N59" i="9"/>
  <c r="O59" i="9"/>
  <c r="P59" i="9"/>
  <c r="P93" i="9"/>
  <c r="L31" i="9"/>
  <c r="K31" i="9"/>
  <c r="J31" i="9"/>
  <c r="D31" i="9"/>
  <c r="M31" i="9"/>
  <c r="N31" i="9"/>
  <c r="O31" i="9"/>
  <c r="P31" i="9"/>
  <c r="L67" i="9"/>
  <c r="K67" i="9"/>
  <c r="J67" i="9"/>
  <c r="D67" i="9"/>
  <c r="M67" i="9"/>
  <c r="N67" i="9"/>
  <c r="O67" i="9"/>
  <c r="P67" i="9"/>
  <c r="P112" i="9"/>
  <c r="P131" i="9"/>
  <c r="F13" i="2"/>
  <c r="E14" i="9"/>
  <c r="L14" i="9"/>
  <c r="E13" i="2"/>
  <c r="K14" i="9"/>
  <c r="C13" i="2"/>
  <c r="J14" i="9"/>
  <c r="D14" i="9"/>
  <c r="M14" i="9"/>
  <c r="N14" i="9"/>
  <c r="O14" i="9"/>
  <c r="P14" i="9"/>
  <c r="L60" i="9"/>
  <c r="K60" i="9"/>
  <c r="J60" i="9"/>
  <c r="D60" i="9"/>
  <c r="M60" i="9"/>
  <c r="N60" i="9"/>
  <c r="O60" i="9"/>
  <c r="P60" i="9"/>
  <c r="P94" i="9"/>
  <c r="L32" i="9"/>
  <c r="K32" i="9"/>
  <c r="J32" i="9"/>
  <c r="D32" i="9"/>
  <c r="M32" i="9"/>
  <c r="N32" i="9"/>
  <c r="O32" i="9"/>
  <c r="P32" i="9"/>
  <c r="L68" i="9"/>
  <c r="K68" i="9"/>
  <c r="J68" i="9"/>
  <c r="D68" i="9"/>
  <c r="M68" i="9"/>
  <c r="N68" i="9"/>
  <c r="O68" i="9"/>
  <c r="P68" i="9"/>
  <c r="P113" i="9"/>
  <c r="P132" i="9"/>
  <c r="F14" i="2"/>
  <c r="E15" i="9"/>
  <c r="L15" i="9"/>
  <c r="E14" i="2"/>
  <c r="K15" i="9"/>
  <c r="C14" i="2"/>
  <c r="J15" i="9"/>
  <c r="D15" i="9"/>
  <c r="M15" i="9"/>
  <c r="N15" i="9"/>
  <c r="O15" i="9"/>
  <c r="P15" i="9"/>
  <c r="P95" i="9"/>
  <c r="L33" i="9"/>
  <c r="K33" i="9"/>
  <c r="J33" i="9"/>
  <c r="D33" i="9"/>
  <c r="M33" i="9"/>
  <c r="N33" i="9"/>
  <c r="O33" i="9"/>
  <c r="P33" i="9"/>
  <c r="P114" i="9"/>
  <c r="P133" i="9"/>
  <c r="F15" i="2"/>
  <c r="E16" i="9"/>
  <c r="L16" i="9"/>
  <c r="E15" i="2"/>
  <c r="K16" i="9"/>
  <c r="C15" i="2"/>
  <c r="J16" i="9"/>
  <c r="D16" i="9"/>
  <c r="M16" i="9"/>
  <c r="N16" i="9"/>
  <c r="O16" i="9"/>
  <c r="P16" i="9"/>
  <c r="L61" i="9"/>
  <c r="K61" i="9"/>
  <c r="J61" i="9"/>
  <c r="D61" i="9"/>
  <c r="M61" i="9"/>
  <c r="N61" i="9"/>
  <c r="O61" i="9"/>
  <c r="P61" i="9"/>
  <c r="F16" i="2"/>
  <c r="E17" i="9"/>
  <c r="L17" i="9"/>
  <c r="L63" i="9"/>
  <c r="E16" i="2"/>
  <c r="K17" i="9"/>
  <c r="K63" i="9"/>
  <c r="J63" i="9"/>
  <c r="D63" i="9"/>
  <c r="M63" i="9"/>
  <c r="N63" i="9"/>
  <c r="O63" i="9"/>
  <c r="P63" i="9"/>
  <c r="P96" i="9"/>
  <c r="L34" i="9"/>
  <c r="K34" i="9"/>
  <c r="J34" i="9"/>
  <c r="D34" i="9"/>
  <c r="M34" i="9"/>
  <c r="N34" i="9"/>
  <c r="O34" i="9"/>
  <c r="P34" i="9"/>
  <c r="L69" i="9"/>
  <c r="K69" i="9"/>
  <c r="J69" i="9"/>
  <c r="D69" i="9"/>
  <c r="M69" i="9"/>
  <c r="N69" i="9"/>
  <c r="O69" i="9"/>
  <c r="P69" i="9"/>
  <c r="L71" i="9"/>
  <c r="K71" i="9"/>
  <c r="J71" i="9"/>
  <c r="D71" i="9"/>
  <c r="M71" i="9"/>
  <c r="N71" i="9"/>
  <c r="O71" i="9"/>
  <c r="P71" i="9"/>
  <c r="P115" i="9"/>
  <c r="P134" i="9"/>
  <c r="C16" i="2"/>
  <c r="J17" i="9"/>
  <c r="D17" i="9"/>
  <c r="M17" i="9"/>
  <c r="N17" i="9"/>
  <c r="O17" i="9"/>
  <c r="P17" i="9"/>
  <c r="L62" i="9"/>
  <c r="K62" i="9"/>
  <c r="J62" i="9"/>
  <c r="D62" i="9"/>
  <c r="M62" i="9"/>
  <c r="N62" i="9"/>
  <c r="O62" i="9"/>
  <c r="P62" i="9"/>
  <c r="P97" i="9"/>
  <c r="L35" i="9"/>
  <c r="K35" i="9"/>
  <c r="J35" i="9"/>
  <c r="D35" i="9"/>
  <c r="M35" i="9"/>
  <c r="N35" i="9"/>
  <c r="O35" i="9"/>
  <c r="P35" i="9"/>
  <c r="L70" i="9"/>
  <c r="K70" i="9"/>
  <c r="J70" i="9"/>
  <c r="D70" i="9"/>
  <c r="M70" i="9"/>
  <c r="N70" i="9"/>
  <c r="O70" i="9"/>
  <c r="P70" i="9"/>
  <c r="P116" i="9"/>
  <c r="P135" i="9"/>
  <c r="F17" i="2"/>
  <c r="E18" i="9"/>
  <c r="L18" i="9"/>
  <c r="E17" i="2"/>
  <c r="K18" i="9"/>
  <c r="C17" i="2"/>
  <c r="J18" i="9"/>
  <c r="D18" i="9"/>
  <c r="M18" i="9"/>
  <c r="N18" i="9"/>
  <c r="O18" i="9"/>
  <c r="P18" i="9"/>
  <c r="P98" i="9"/>
  <c r="L36" i="9"/>
  <c r="K36" i="9"/>
  <c r="J36" i="9"/>
  <c r="D36" i="9"/>
  <c r="M36" i="9"/>
  <c r="N36" i="9"/>
  <c r="O36" i="9"/>
  <c r="P36" i="9"/>
  <c r="P117" i="9"/>
  <c r="P136" i="9"/>
  <c r="P137" i="9"/>
  <c r="F4" i="9"/>
  <c r="G4" i="9"/>
  <c r="H4" i="9"/>
  <c r="H84" i="9"/>
  <c r="F22" i="9"/>
  <c r="G22" i="9"/>
  <c r="E22" i="9"/>
  <c r="H22" i="9"/>
  <c r="H103" i="9"/>
  <c r="H122" i="9"/>
  <c r="F5" i="9"/>
  <c r="G5" i="9"/>
  <c r="H5" i="9"/>
  <c r="H85" i="9"/>
  <c r="F23" i="9"/>
  <c r="G23" i="9"/>
  <c r="E23" i="9"/>
  <c r="H23" i="9"/>
  <c r="H104" i="9"/>
  <c r="H123" i="9"/>
  <c r="F6" i="9"/>
  <c r="G6" i="9"/>
  <c r="H6" i="9"/>
  <c r="H86" i="9"/>
  <c r="F24" i="9"/>
  <c r="G24" i="9"/>
  <c r="E24" i="9"/>
  <c r="H24" i="9"/>
  <c r="H105" i="9"/>
  <c r="H124" i="9"/>
  <c r="F7" i="9"/>
  <c r="G7" i="9"/>
  <c r="H7" i="9"/>
  <c r="H87" i="9"/>
  <c r="F25" i="9"/>
  <c r="G25" i="9"/>
  <c r="E25" i="9"/>
  <c r="H25" i="9"/>
  <c r="H106" i="9"/>
  <c r="H125" i="9"/>
  <c r="F8" i="9"/>
  <c r="G8" i="9"/>
  <c r="H8" i="9"/>
  <c r="H88" i="9"/>
  <c r="F26" i="9"/>
  <c r="G26" i="9"/>
  <c r="E26" i="9"/>
  <c r="H26" i="9"/>
  <c r="H107" i="9"/>
  <c r="H126" i="9"/>
  <c r="F9" i="9"/>
  <c r="G9" i="9"/>
  <c r="H9" i="9"/>
  <c r="H89" i="9"/>
  <c r="F27" i="9"/>
  <c r="G27" i="9"/>
  <c r="E27" i="9"/>
  <c r="H27" i="9"/>
  <c r="H108" i="9"/>
  <c r="H127" i="9"/>
  <c r="F10" i="9"/>
  <c r="G10" i="9"/>
  <c r="H10" i="9"/>
  <c r="H90" i="9"/>
  <c r="F28" i="9"/>
  <c r="G28" i="9"/>
  <c r="E28" i="9"/>
  <c r="H28" i="9"/>
  <c r="H109" i="9"/>
  <c r="H128" i="9"/>
  <c r="F11" i="9"/>
  <c r="G11" i="9"/>
  <c r="H11" i="9"/>
  <c r="H91" i="9"/>
  <c r="F29" i="9"/>
  <c r="G29" i="9"/>
  <c r="E29" i="9"/>
  <c r="H29" i="9"/>
  <c r="H110" i="9"/>
  <c r="H129" i="9"/>
  <c r="F12" i="9"/>
  <c r="G12" i="9"/>
  <c r="H12" i="9"/>
  <c r="H92" i="9"/>
  <c r="F30" i="9"/>
  <c r="G30" i="9"/>
  <c r="E30" i="9"/>
  <c r="H30" i="9"/>
  <c r="H111" i="9"/>
  <c r="H130" i="9"/>
  <c r="F13" i="9"/>
  <c r="G13" i="9"/>
  <c r="H13" i="9"/>
  <c r="F59" i="9"/>
  <c r="G59" i="9"/>
  <c r="E59" i="9"/>
  <c r="H59" i="9"/>
  <c r="H93" i="9"/>
  <c r="F31" i="9"/>
  <c r="G31" i="9"/>
  <c r="E31" i="9"/>
  <c r="H31" i="9"/>
  <c r="F67" i="9"/>
  <c r="G67" i="9"/>
  <c r="E67" i="9"/>
  <c r="H67" i="9"/>
  <c r="H112" i="9"/>
  <c r="H131" i="9"/>
  <c r="F14" i="9"/>
  <c r="G14" i="9"/>
  <c r="H14" i="9"/>
  <c r="F60" i="9"/>
  <c r="G60" i="9"/>
  <c r="E60" i="9"/>
  <c r="H60" i="9"/>
  <c r="H94" i="9"/>
  <c r="F32" i="9"/>
  <c r="G32" i="9"/>
  <c r="E32" i="9"/>
  <c r="H32" i="9"/>
  <c r="F68" i="9"/>
  <c r="G68" i="9"/>
  <c r="E68" i="9"/>
  <c r="H68" i="9"/>
  <c r="H113" i="9"/>
  <c r="H132" i="9"/>
  <c r="F15" i="9"/>
  <c r="G15" i="9"/>
  <c r="H15" i="9"/>
  <c r="H95" i="9"/>
  <c r="F33" i="9"/>
  <c r="G33" i="9"/>
  <c r="E33" i="9"/>
  <c r="H33" i="9"/>
  <c r="H114" i="9"/>
  <c r="H133" i="9"/>
  <c r="F16" i="9"/>
  <c r="G16" i="9"/>
  <c r="H16" i="9"/>
  <c r="F61" i="9"/>
  <c r="G61" i="9"/>
  <c r="E34" i="9"/>
  <c r="E61" i="9"/>
  <c r="H61" i="9"/>
  <c r="F63" i="9"/>
  <c r="G63" i="9"/>
  <c r="E63" i="9"/>
  <c r="H63" i="9"/>
  <c r="H96" i="9"/>
  <c r="F34" i="9"/>
  <c r="G34" i="9"/>
  <c r="H34" i="9"/>
  <c r="F69" i="9"/>
  <c r="G69" i="9"/>
  <c r="E69" i="9"/>
  <c r="H69" i="9"/>
  <c r="F71" i="9"/>
  <c r="G71" i="9"/>
  <c r="E71" i="9"/>
  <c r="H71" i="9"/>
  <c r="H115" i="9"/>
  <c r="H134" i="9"/>
  <c r="F17" i="9"/>
  <c r="G17" i="9"/>
  <c r="H17" i="9"/>
  <c r="F62" i="9"/>
  <c r="G62" i="9"/>
  <c r="E35" i="9"/>
  <c r="E62" i="9"/>
  <c r="H62" i="9"/>
  <c r="H97" i="9"/>
  <c r="F35" i="9"/>
  <c r="G35" i="9"/>
  <c r="H35" i="9"/>
  <c r="F70" i="9"/>
  <c r="G70" i="9"/>
  <c r="E70" i="9"/>
  <c r="H70" i="9"/>
  <c r="H116" i="9"/>
  <c r="H135" i="9"/>
  <c r="F18" i="9"/>
  <c r="G18" i="9"/>
  <c r="H18" i="9"/>
  <c r="H98" i="9"/>
  <c r="F36" i="9"/>
  <c r="G36" i="9"/>
  <c r="E36" i="9"/>
  <c r="H36" i="9"/>
  <c r="H117" i="9"/>
  <c r="H136" i="9"/>
  <c r="H137" i="9"/>
  <c r="S137" i="9"/>
  <c r="R4" i="9"/>
  <c r="R84" i="9"/>
  <c r="R22" i="9"/>
  <c r="R103" i="9"/>
  <c r="R122" i="9"/>
  <c r="R5" i="9"/>
  <c r="R85" i="9"/>
  <c r="R23" i="9"/>
  <c r="R104" i="9"/>
  <c r="R123" i="9"/>
  <c r="R6" i="9"/>
  <c r="R86" i="9"/>
  <c r="R24" i="9"/>
  <c r="R105" i="9"/>
  <c r="R124" i="9"/>
  <c r="R7" i="9"/>
  <c r="R87" i="9"/>
  <c r="R25" i="9"/>
  <c r="R106" i="9"/>
  <c r="R125" i="9"/>
  <c r="R8" i="9"/>
  <c r="R88" i="9"/>
  <c r="R26" i="9"/>
  <c r="R107" i="9"/>
  <c r="R126" i="9"/>
  <c r="R9" i="9"/>
  <c r="R89" i="9"/>
  <c r="R27" i="9"/>
  <c r="R108" i="9"/>
  <c r="R127" i="9"/>
  <c r="R10" i="9"/>
  <c r="R90" i="9"/>
  <c r="R28" i="9"/>
  <c r="R109" i="9"/>
  <c r="R128" i="9"/>
  <c r="R11" i="9"/>
  <c r="R91" i="9"/>
  <c r="R29" i="9"/>
  <c r="R110" i="9"/>
  <c r="R129" i="9"/>
  <c r="R12" i="9"/>
  <c r="R92" i="9"/>
  <c r="R30" i="9"/>
  <c r="R111" i="9"/>
  <c r="R130" i="9"/>
  <c r="R13" i="9"/>
  <c r="R59" i="9"/>
  <c r="R93" i="9"/>
  <c r="R31" i="9"/>
  <c r="R67" i="9"/>
  <c r="R112" i="9"/>
  <c r="R131" i="9"/>
  <c r="R14" i="9"/>
  <c r="R60" i="9"/>
  <c r="R94" i="9"/>
  <c r="R32" i="9"/>
  <c r="R68" i="9"/>
  <c r="R113" i="9"/>
  <c r="R132" i="9"/>
  <c r="R15" i="9"/>
  <c r="R95" i="9"/>
  <c r="R33" i="9"/>
  <c r="R114" i="9"/>
  <c r="R133" i="9"/>
  <c r="R16" i="9"/>
  <c r="R61" i="9"/>
  <c r="R63" i="9"/>
  <c r="R96" i="9"/>
  <c r="R34" i="9"/>
  <c r="R69" i="9"/>
  <c r="R71" i="9"/>
  <c r="R115" i="9"/>
  <c r="R134" i="9"/>
  <c r="R17" i="9"/>
  <c r="R62" i="9"/>
  <c r="R97" i="9"/>
  <c r="R35" i="9"/>
  <c r="R70" i="9"/>
  <c r="R116" i="9"/>
  <c r="R135" i="9"/>
  <c r="R18" i="9"/>
  <c r="R98" i="9"/>
  <c r="R36" i="9"/>
  <c r="R117" i="9"/>
  <c r="R136" i="9"/>
  <c r="R137" i="9"/>
  <c r="O84" i="9"/>
  <c r="O103" i="9"/>
  <c r="O122" i="9"/>
  <c r="O85" i="9"/>
  <c r="O104" i="9"/>
  <c r="O123" i="9"/>
  <c r="O86" i="9"/>
  <c r="O105" i="9"/>
  <c r="O124" i="9"/>
  <c r="O87" i="9"/>
  <c r="O106" i="9"/>
  <c r="O125" i="9"/>
  <c r="O88" i="9"/>
  <c r="O107" i="9"/>
  <c r="O126" i="9"/>
  <c r="O89" i="9"/>
  <c r="O108" i="9"/>
  <c r="O127" i="9"/>
  <c r="O90" i="9"/>
  <c r="O109" i="9"/>
  <c r="O128" i="9"/>
  <c r="O91" i="9"/>
  <c r="O110" i="9"/>
  <c r="O129" i="9"/>
  <c r="O92" i="9"/>
  <c r="O111" i="9"/>
  <c r="O130" i="9"/>
  <c r="O93" i="9"/>
  <c r="O112" i="9"/>
  <c r="O131" i="9"/>
  <c r="O94" i="9"/>
  <c r="O113" i="9"/>
  <c r="O132" i="9"/>
  <c r="O95" i="9"/>
  <c r="O114" i="9"/>
  <c r="O133" i="9"/>
  <c r="O96" i="9"/>
  <c r="O115" i="9"/>
  <c r="O134" i="9"/>
  <c r="O97" i="9"/>
  <c r="O116" i="9"/>
  <c r="O135" i="9"/>
  <c r="O98" i="9"/>
  <c r="O117" i="9"/>
  <c r="O136" i="9"/>
  <c r="O137" i="9"/>
  <c r="N84" i="9"/>
  <c r="N103" i="9"/>
  <c r="N122" i="9"/>
  <c r="N85" i="9"/>
  <c r="N104" i="9"/>
  <c r="N123" i="9"/>
  <c r="N86" i="9"/>
  <c r="N105" i="9"/>
  <c r="N124" i="9"/>
  <c r="N87" i="9"/>
  <c r="N106" i="9"/>
  <c r="N125" i="9"/>
  <c r="N88" i="9"/>
  <c r="N107" i="9"/>
  <c r="N126" i="9"/>
  <c r="N89" i="9"/>
  <c r="N108" i="9"/>
  <c r="N127" i="9"/>
  <c r="N90" i="9"/>
  <c r="N109" i="9"/>
  <c r="N128" i="9"/>
  <c r="N91" i="9"/>
  <c r="N110" i="9"/>
  <c r="N129" i="9"/>
  <c r="N92" i="9"/>
  <c r="N111" i="9"/>
  <c r="N130" i="9"/>
  <c r="N93" i="9"/>
  <c r="N112" i="9"/>
  <c r="N131" i="9"/>
  <c r="N94" i="9"/>
  <c r="N113" i="9"/>
  <c r="N132" i="9"/>
  <c r="N95" i="9"/>
  <c r="N114" i="9"/>
  <c r="N133" i="9"/>
  <c r="N96" i="9"/>
  <c r="N115" i="9"/>
  <c r="N134" i="9"/>
  <c r="N97" i="9"/>
  <c r="N116" i="9"/>
  <c r="N135" i="9"/>
  <c r="N98" i="9"/>
  <c r="N117" i="9"/>
  <c r="N136" i="9"/>
  <c r="N137" i="9"/>
  <c r="M84" i="9"/>
  <c r="M103" i="9"/>
  <c r="M122" i="9"/>
  <c r="M85" i="9"/>
  <c r="M104" i="9"/>
  <c r="M123" i="9"/>
  <c r="M86" i="9"/>
  <c r="M105" i="9"/>
  <c r="M124" i="9"/>
  <c r="M87" i="9"/>
  <c r="M106" i="9"/>
  <c r="M125" i="9"/>
  <c r="M88" i="9"/>
  <c r="M107" i="9"/>
  <c r="M126" i="9"/>
  <c r="M89" i="9"/>
  <c r="M108" i="9"/>
  <c r="M127" i="9"/>
  <c r="M90" i="9"/>
  <c r="M109" i="9"/>
  <c r="M128" i="9"/>
  <c r="M91" i="9"/>
  <c r="M110" i="9"/>
  <c r="M129" i="9"/>
  <c r="M92" i="9"/>
  <c r="M111" i="9"/>
  <c r="M130" i="9"/>
  <c r="M93" i="9"/>
  <c r="M112" i="9"/>
  <c r="M131" i="9"/>
  <c r="M94" i="9"/>
  <c r="M113" i="9"/>
  <c r="M132" i="9"/>
  <c r="M95" i="9"/>
  <c r="M114" i="9"/>
  <c r="M133" i="9"/>
  <c r="M96" i="9"/>
  <c r="M115" i="9"/>
  <c r="M134" i="9"/>
  <c r="M97" i="9"/>
  <c r="M116" i="9"/>
  <c r="M135" i="9"/>
  <c r="M98" i="9"/>
  <c r="M117" i="9"/>
  <c r="M136" i="9"/>
  <c r="M137" i="9"/>
  <c r="L137" i="9"/>
  <c r="G84" i="9"/>
  <c r="G103" i="9"/>
  <c r="G122" i="9"/>
  <c r="G85" i="9"/>
  <c r="G104" i="9"/>
  <c r="G123" i="9"/>
  <c r="G86" i="9"/>
  <c r="G105" i="9"/>
  <c r="G124" i="9"/>
  <c r="G87" i="9"/>
  <c r="G106" i="9"/>
  <c r="G125" i="9"/>
  <c r="G88" i="9"/>
  <c r="G107" i="9"/>
  <c r="G126" i="9"/>
  <c r="G89" i="9"/>
  <c r="G108" i="9"/>
  <c r="G127" i="9"/>
  <c r="G90" i="9"/>
  <c r="G109" i="9"/>
  <c r="G128" i="9"/>
  <c r="G91" i="9"/>
  <c r="G110" i="9"/>
  <c r="G129" i="9"/>
  <c r="G92" i="9"/>
  <c r="G111" i="9"/>
  <c r="G130" i="9"/>
  <c r="G93" i="9"/>
  <c r="G112" i="9"/>
  <c r="G131" i="9"/>
  <c r="G94" i="9"/>
  <c r="G113" i="9"/>
  <c r="G132" i="9"/>
  <c r="G95" i="9"/>
  <c r="G114" i="9"/>
  <c r="G133" i="9"/>
  <c r="G96" i="9"/>
  <c r="G115" i="9"/>
  <c r="G134" i="9"/>
  <c r="G97" i="9"/>
  <c r="G116" i="9"/>
  <c r="G135" i="9"/>
  <c r="G98" i="9"/>
  <c r="G117" i="9"/>
  <c r="G136" i="9"/>
  <c r="G137" i="9"/>
  <c r="F84" i="9"/>
  <c r="F103" i="9"/>
  <c r="F122" i="9"/>
  <c r="F85" i="9"/>
  <c r="F104" i="9"/>
  <c r="F123" i="9"/>
  <c r="F86" i="9"/>
  <c r="F105" i="9"/>
  <c r="F124" i="9"/>
  <c r="F87" i="9"/>
  <c r="F106" i="9"/>
  <c r="F125" i="9"/>
  <c r="F88" i="9"/>
  <c r="F107" i="9"/>
  <c r="F126" i="9"/>
  <c r="F89" i="9"/>
  <c r="F108" i="9"/>
  <c r="F127" i="9"/>
  <c r="F90" i="9"/>
  <c r="F109" i="9"/>
  <c r="F128" i="9"/>
  <c r="F91" i="9"/>
  <c r="F110" i="9"/>
  <c r="F129" i="9"/>
  <c r="F92" i="9"/>
  <c r="F111" i="9"/>
  <c r="F130" i="9"/>
  <c r="F93" i="9"/>
  <c r="F112" i="9"/>
  <c r="F131" i="9"/>
  <c r="F94" i="9"/>
  <c r="F113" i="9"/>
  <c r="F132" i="9"/>
  <c r="F95" i="9"/>
  <c r="F114" i="9"/>
  <c r="F133" i="9"/>
  <c r="F96" i="9"/>
  <c r="F115" i="9"/>
  <c r="F134" i="9"/>
  <c r="F97" i="9"/>
  <c r="F116" i="9"/>
  <c r="F135" i="9"/>
  <c r="F98" i="9"/>
  <c r="F117" i="9"/>
  <c r="F136" i="9"/>
  <c r="F137" i="9"/>
  <c r="E137" i="9"/>
  <c r="D137" i="9"/>
  <c r="C84" i="9"/>
  <c r="C103" i="9"/>
  <c r="C122" i="9"/>
  <c r="C85" i="9"/>
  <c r="C104" i="9"/>
  <c r="C123" i="9"/>
  <c r="C86" i="9"/>
  <c r="C105" i="9"/>
  <c r="C124" i="9"/>
  <c r="C87" i="9"/>
  <c r="C106" i="9"/>
  <c r="C125" i="9"/>
  <c r="C88" i="9"/>
  <c r="C107" i="9"/>
  <c r="C126" i="9"/>
  <c r="C89" i="9"/>
  <c r="C108" i="9"/>
  <c r="C127" i="9"/>
  <c r="C90" i="9"/>
  <c r="C109" i="9"/>
  <c r="C128" i="9"/>
  <c r="C91" i="9"/>
  <c r="C110" i="9"/>
  <c r="C129" i="9"/>
  <c r="C92" i="9"/>
  <c r="C111" i="9"/>
  <c r="C130" i="9"/>
  <c r="C93" i="9"/>
  <c r="C112" i="9"/>
  <c r="C131" i="9"/>
  <c r="C94" i="9"/>
  <c r="C113" i="9"/>
  <c r="C132" i="9"/>
  <c r="C95" i="9"/>
  <c r="C114" i="9"/>
  <c r="C133" i="9"/>
  <c r="C96" i="9"/>
  <c r="C115" i="9"/>
  <c r="C134" i="9"/>
  <c r="C97" i="9"/>
  <c r="C116" i="9"/>
  <c r="C135" i="9"/>
  <c r="C98" i="9"/>
  <c r="C117" i="9"/>
  <c r="C136" i="9"/>
  <c r="C137" i="9"/>
  <c r="J136" i="9"/>
  <c r="D136" i="9"/>
  <c r="B18" i="9"/>
  <c r="B136" i="9"/>
  <c r="S135" i="9"/>
  <c r="L135" i="9"/>
  <c r="J135" i="9"/>
  <c r="E135" i="9"/>
  <c r="D135" i="9"/>
  <c r="B17" i="9"/>
  <c r="B135" i="9"/>
  <c r="S134" i="9"/>
  <c r="L134" i="9"/>
  <c r="J134" i="9"/>
  <c r="E134" i="9"/>
  <c r="D134" i="9"/>
  <c r="B16" i="9"/>
  <c r="B134" i="9"/>
  <c r="S133" i="9"/>
  <c r="L133" i="9"/>
  <c r="J133" i="9"/>
  <c r="E133" i="9"/>
  <c r="D133" i="9"/>
  <c r="B15" i="9"/>
  <c r="B133" i="9"/>
  <c r="S132" i="9"/>
  <c r="L132" i="9"/>
  <c r="J132" i="9"/>
  <c r="E132" i="9"/>
  <c r="D132" i="9"/>
  <c r="B14" i="9"/>
  <c r="B132" i="9"/>
  <c r="S131" i="9"/>
  <c r="L131" i="9"/>
  <c r="J131" i="9"/>
  <c r="E131" i="9"/>
  <c r="D131" i="9"/>
  <c r="B13" i="9"/>
  <c r="B131" i="9"/>
  <c r="S130" i="9"/>
  <c r="L130" i="9"/>
  <c r="J130" i="9"/>
  <c r="E130" i="9"/>
  <c r="D130" i="9"/>
  <c r="B12" i="9"/>
  <c r="B130" i="9"/>
  <c r="S129" i="9"/>
  <c r="L129" i="9"/>
  <c r="J129" i="9"/>
  <c r="E129" i="9"/>
  <c r="D129" i="9"/>
  <c r="B129" i="9"/>
  <c r="S128" i="9"/>
  <c r="L128" i="9"/>
  <c r="J128" i="9"/>
  <c r="E128" i="9"/>
  <c r="D128" i="9"/>
  <c r="B128" i="9"/>
  <c r="S127" i="9"/>
  <c r="L127" i="9"/>
  <c r="J127" i="9"/>
  <c r="E127" i="9"/>
  <c r="D127" i="9"/>
  <c r="B9" i="9"/>
  <c r="B127" i="9"/>
  <c r="S126" i="9"/>
  <c r="L126" i="9"/>
  <c r="J126" i="9"/>
  <c r="E126" i="9"/>
  <c r="D126" i="9"/>
  <c r="B8" i="9"/>
  <c r="B126" i="9"/>
  <c r="S125" i="9"/>
  <c r="L125" i="9"/>
  <c r="J125" i="9"/>
  <c r="E125" i="9"/>
  <c r="D125" i="9"/>
  <c r="B7" i="9"/>
  <c r="B125" i="9"/>
  <c r="S124" i="9"/>
  <c r="L124" i="9"/>
  <c r="J124" i="9"/>
  <c r="E124" i="9"/>
  <c r="D124" i="9"/>
  <c r="B6" i="9"/>
  <c r="B124" i="9"/>
  <c r="S123" i="9"/>
  <c r="L123" i="9"/>
  <c r="J123" i="9"/>
  <c r="E123" i="9"/>
  <c r="D123" i="9"/>
  <c r="B5" i="9"/>
  <c r="B123" i="9"/>
  <c r="S122" i="9"/>
  <c r="L122" i="9"/>
  <c r="J122" i="9"/>
  <c r="E122" i="9"/>
  <c r="D122" i="9"/>
  <c r="B4" i="9"/>
  <c r="B122" i="9"/>
  <c r="C72" i="9"/>
  <c r="C119" i="9"/>
  <c r="P118" i="9"/>
  <c r="H118" i="9"/>
  <c r="S118" i="9"/>
  <c r="R118" i="9"/>
  <c r="O118" i="9"/>
  <c r="N118" i="9"/>
  <c r="M118" i="9"/>
  <c r="L118" i="9"/>
  <c r="G118" i="9"/>
  <c r="F118" i="9"/>
  <c r="E118" i="9"/>
  <c r="C118" i="9"/>
  <c r="J117" i="9"/>
  <c r="D117" i="9"/>
  <c r="B117" i="9"/>
  <c r="S116" i="9"/>
  <c r="L116" i="9"/>
  <c r="J116" i="9"/>
  <c r="E116" i="9"/>
  <c r="D116" i="9"/>
  <c r="B116" i="9"/>
  <c r="S115" i="9"/>
  <c r="L115" i="9"/>
  <c r="J115" i="9"/>
  <c r="E115" i="9"/>
  <c r="D115" i="9"/>
  <c r="B115" i="9"/>
  <c r="S114" i="9"/>
  <c r="L114" i="9"/>
  <c r="J114" i="9"/>
  <c r="E114" i="9"/>
  <c r="D114" i="9"/>
  <c r="B114" i="9"/>
  <c r="S113" i="9"/>
  <c r="L113" i="9"/>
  <c r="J113" i="9"/>
  <c r="E113" i="9"/>
  <c r="D113" i="9"/>
  <c r="B113" i="9"/>
  <c r="S112" i="9"/>
  <c r="L112" i="9"/>
  <c r="J112" i="9"/>
  <c r="E112" i="9"/>
  <c r="D112" i="9"/>
  <c r="B112" i="9"/>
  <c r="S111" i="9"/>
  <c r="L111" i="9"/>
  <c r="J111" i="9"/>
  <c r="E111" i="9"/>
  <c r="D111" i="9"/>
  <c r="B111" i="9"/>
  <c r="S110" i="9"/>
  <c r="L110" i="9"/>
  <c r="J110" i="9"/>
  <c r="E110" i="9"/>
  <c r="D110" i="9"/>
  <c r="B110" i="9"/>
  <c r="S109" i="9"/>
  <c r="L109" i="9"/>
  <c r="J109" i="9"/>
  <c r="E109" i="9"/>
  <c r="D109" i="9"/>
  <c r="B109" i="9"/>
  <c r="S108" i="9"/>
  <c r="L108" i="9"/>
  <c r="J108" i="9"/>
  <c r="E108" i="9"/>
  <c r="D108" i="9"/>
  <c r="B108" i="9"/>
  <c r="S107" i="9"/>
  <c r="L107" i="9"/>
  <c r="J107" i="9"/>
  <c r="E107" i="9"/>
  <c r="D107" i="9"/>
  <c r="B107" i="9"/>
  <c r="S106" i="9"/>
  <c r="L106" i="9"/>
  <c r="J106" i="9"/>
  <c r="E106" i="9"/>
  <c r="D106" i="9"/>
  <c r="B106" i="9"/>
  <c r="S105" i="9"/>
  <c r="L105" i="9"/>
  <c r="J105" i="9"/>
  <c r="E105" i="9"/>
  <c r="D105" i="9"/>
  <c r="B105" i="9"/>
  <c r="S104" i="9"/>
  <c r="L104" i="9"/>
  <c r="J104" i="9"/>
  <c r="E104" i="9"/>
  <c r="D104" i="9"/>
  <c r="B104" i="9"/>
  <c r="S103" i="9"/>
  <c r="L103" i="9"/>
  <c r="J103" i="9"/>
  <c r="E103" i="9"/>
  <c r="D103" i="9"/>
  <c r="B103" i="9"/>
  <c r="C64" i="9"/>
  <c r="C100" i="9"/>
  <c r="P99" i="9"/>
  <c r="H99" i="9"/>
  <c r="S99" i="9"/>
  <c r="R99" i="9"/>
  <c r="O99" i="9"/>
  <c r="N99" i="9"/>
  <c r="M99" i="9"/>
  <c r="L99" i="9"/>
  <c r="G99" i="9"/>
  <c r="F99" i="9"/>
  <c r="E99" i="9"/>
  <c r="C99" i="9"/>
  <c r="J98" i="9"/>
  <c r="D98" i="9"/>
  <c r="B98" i="9"/>
  <c r="S97" i="9"/>
  <c r="L97" i="9"/>
  <c r="J97" i="9"/>
  <c r="E97" i="9"/>
  <c r="D97" i="9"/>
  <c r="B97" i="9"/>
  <c r="S96" i="9"/>
  <c r="L96" i="9"/>
  <c r="J96" i="9"/>
  <c r="E96" i="9"/>
  <c r="D96" i="9"/>
  <c r="B96" i="9"/>
  <c r="S95" i="9"/>
  <c r="L95" i="9"/>
  <c r="J95" i="9"/>
  <c r="E95" i="9"/>
  <c r="D95" i="9"/>
  <c r="B95" i="9"/>
  <c r="S94" i="9"/>
  <c r="L94" i="9"/>
  <c r="J94" i="9"/>
  <c r="E94" i="9"/>
  <c r="D94" i="9"/>
  <c r="B94" i="9"/>
  <c r="S93" i="9"/>
  <c r="L93" i="9"/>
  <c r="J93" i="9"/>
  <c r="E93" i="9"/>
  <c r="D93" i="9"/>
  <c r="B93" i="9"/>
  <c r="S92" i="9"/>
  <c r="L92" i="9"/>
  <c r="J92" i="9"/>
  <c r="E92" i="9"/>
  <c r="D92" i="9"/>
  <c r="B92" i="9"/>
  <c r="S91" i="9"/>
  <c r="L91" i="9"/>
  <c r="J91" i="9"/>
  <c r="E91" i="9"/>
  <c r="D91" i="9"/>
  <c r="B91" i="9"/>
  <c r="S90" i="9"/>
  <c r="L90" i="9"/>
  <c r="J90" i="9"/>
  <c r="E90" i="9"/>
  <c r="D90" i="9"/>
  <c r="B90" i="9"/>
  <c r="S89" i="9"/>
  <c r="L89" i="9"/>
  <c r="J89" i="9"/>
  <c r="E89" i="9"/>
  <c r="D89" i="9"/>
  <c r="B89" i="9"/>
  <c r="S88" i="9"/>
  <c r="L88" i="9"/>
  <c r="J88" i="9"/>
  <c r="E88" i="9"/>
  <c r="D88" i="9"/>
  <c r="B88" i="9"/>
  <c r="S87" i="9"/>
  <c r="L87" i="9"/>
  <c r="J87" i="9"/>
  <c r="E87" i="9"/>
  <c r="D87" i="9"/>
  <c r="B87" i="9"/>
  <c r="S86" i="9"/>
  <c r="L86" i="9"/>
  <c r="J86" i="9"/>
  <c r="E86" i="9"/>
  <c r="D86" i="9"/>
  <c r="B86" i="9"/>
  <c r="S85" i="9"/>
  <c r="L85" i="9"/>
  <c r="J85" i="9"/>
  <c r="E85" i="9"/>
  <c r="D85" i="9"/>
  <c r="B85" i="9"/>
  <c r="S84" i="9"/>
  <c r="L84" i="9"/>
  <c r="J84" i="9"/>
  <c r="E84" i="9"/>
  <c r="D84" i="9"/>
  <c r="B84" i="9"/>
  <c r="C81" i="9"/>
  <c r="P64" i="9"/>
  <c r="P72" i="9"/>
  <c r="P80" i="9"/>
  <c r="H75" i="9"/>
  <c r="H76" i="9"/>
  <c r="H77" i="9"/>
  <c r="H78" i="9"/>
  <c r="H79" i="9"/>
  <c r="H80" i="9"/>
  <c r="S80" i="9"/>
  <c r="R64" i="9"/>
  <c r="R72" i="9"/>
  <c r="R80" i="9"/>
  <c r="O64" i="9"/>
  <c r="O72" i="9"/>
  <c r="O80" i="9"/>
  <c r="N64" i="9"/>
  <c r="N72" i="9"/>
  <c r="N80" i="9"/>
  <c r="M64" i="9"/>
  <c r="M72" i="9"/>
  <c r="M80" i="9"/>
  <c r="L80" i="9"/>
  <c r="J80" i="9"/>
  <c r="G75" i="9"/>
  <c r="G76" i="9"/>
  <c r="G77" i="9"/>
  <c r="G78" i="9"/>
  <c r="G79" i="9"/>
  <c r="G80" i="9"/>
  <c r="F75" i="9"/>
  <c r="F76" i="9"/>
  <c r="F77" i="9"/>
  <c r="F78" i="9"/>
  <c r="F79" i="9"/>
  <c r="F80" i="9"/>
  <c r="E80" i="9"/>
  <c r="D80" i="9"/>
  <c r="P79" i="9"/>
  <c r="S79" i="9"/>
  <c r="R79" i="9"/>
  <c r="O79" i="9"/>
  <c r="N79" i="9"/>
  <c r="M79" i="9"/>
  <c r="L79" i="9"/>
  <c r="J79" i="9"/>
  <c r="E79" i="9"/>
  <c r="D79" i="9"/>
  <c r="B63" i="9"/>
  <c r="B71" i="9"/>
  <c r="B79" i="9"/>
  <c r="P78" i="9"/>
  <c r="S78" i="9"/>
  <c r="R78" i="9"/>
  <c r="O78" i="9"/>
  <c r="N78" i="9"/>
  <c r="M78" i="9"/>
  <c r="L78" i="9"/>
  <c r="J78" i="9"/>
  <c r="E78" i="9"/>
  <c r="D78" i="9"/>
  <c r="B62" i="9"/>
  <c r="B70" i="9"/>
  <c r="B78" i="9"/>
  <c r="P77" i="9"/>
  <c r="S77" i="9"/>
  <c r="R77" i="9"/>
  <c r="O77" i="9"/>
  <c r="N77" i="9"/>
  <c r="M77" i="9"/>
  <c r="L77" i="9"/>
  <c r="J77" i="9"/>
  <c r="E77" i="9"/>
  <c r="D77" i="9"/>
  <c r="B61" i="9"/>
  <c r="B69" i="9"/>
  <c r="B77" i="9"/>
  <c r="P76" i="9"/>
  <c r="S76" i="9"/>
  <c r="R76" i="9"/>
  <c r="O76" i="9"/>
  <c r="N76" i="9"/>
  <c r="M76" i="9"/>
  <c r="L76" i="9"/>
  <c r="J76" i="9"/>
  <c r="E76" i="9"/>
  <c r="D76" i="9"/>
  <c r="B60" i="9"/>
  <c r="B68" i="9"/>
  <c r="B76" i="9"/>
  <c r="P75" i="9"/>
  <c r="S75" i="9"/>
  <c r="R75" i="9"/>
  <c r="O75" i="9"/>
  <c r="N75" i="9"/>
  <c r="M75" i="9"/>
  <c r="L75" i="9"/>
  <c r="J75" i="9"/>
  <c r="E75" i="9"/>
  <c r="D75" i="9"/>
  <c r="B59" i="9"/>
  <c r="B67" i="9"/>
  <c r="B75" i="9"/>
  <c r="H72" i="9"/>
  <c r="S72" i="9"/>
  <c r="G72" i="9"/>
  <c r="F72" i="9"/>
  <c r="D72" i="9"/>
  <c r="S71" i="9"/>
  <c r="S70" i="9"/>
  <c r="S69" i="9"/>
  <c r="S68" i="9"/>
  <c r="S67" i="9"/>
  <c r="H64" i="9"/>
  <c r="S64" i="9"/>
  <c r="G64" i="9"/>
  <c r="F64" i="9"/>
  <c r="D64" i="9"/>
  <c r="S63" i="9"/>
  <c r="S62" i="9"/>
  <c r="S61" i="9"/>
  <c r="S60" i="9"/>
  <c r="S59" i="9"/>
  <c r="P40" i="9"/>
  <c r="P41" i="9"/>
  <c r="P42" i="9"/>
  <c r="P43" i="9"/>
  <c r="P44" i="9"/>
  <c r="P45" i="9"/>
  <c r="P46" i="9"/>
  <c r="P47" i="9"/>
  <c r="P48" i="9"/>
  <c r="P49" i="9"/>
  <c r="P50" i="9"/>
  <c r="P51" i="9"/>
  <c r="P52" i="9"/>
  <c r="P53" i="9"/>
  <c r="P54" i="9"/>
  <c r="P55" i="9"/>
  <c r="H40" i="9"/>
  <c r="H41" i="9"/>
  <c r="H42" i="9"/>
  <c r="H43" i="9"/>
  <c r="H44" i="9"/>
  <c r="H45" i="9"/>
  <c r="H46" i="9"/>
  <c r="H47" i="9"/>
  <c r="H48" i="9"/>
  <c r="H49" i="9"/>
  <c r="H50" i="9"/>
  <c r="H51" i="9"/>
  <c r="H52" i="9"/>
  <c r="H53" i="9"/>
  <c r="H54" i="9"/>
  <c r="H55" i="9"/>
  <c r="S55" i="9"/>
  <c r="R40" i="9"/>
  <c r="R41" i="9"/>
  <c r="R42" i="9"/>
  <c r="R43" i="9"/>
  <c r="R44" i="9"/>
  <c r="R45" i="9"/>
  <c r="R46" i="9"/>
  <c r="R47" i="9"/>
  <c r="R48" i="9"/>
  <c r="R49" i="9"/>
  <c r="R50" i="9"/>
  <c r="R51" i="9"/>
  <c r="R52" i="9"/>
  <c r="R53" i="9"/>
  <c r="R54" i="9"/>
  <c r="R55" i="9"/>
  <c r="O40" i="9"/>
  <c r="O41" i="9"/>
  <c r="O42" i="9"/>
  <c r="O43" i="9"/>
  <c r="O44" i="9"/>
  <c r="O45" i="9"/>
  <c r="O46" i="9"/>
  <c r="O47" i="9"/>
  <c r="O48" i="9"/>
  <c r="O49" i="9"/>
  <c r="O50" i="9"/>
  <c r="O51" i="9"/>
  <c r="O52" i="9"/>
  <c r="O53" i="9"/>
  <c r="O54" i="9"/>
  <c r="O55" i="9"/>
  <c r="N40" i="9"/>
  <c r="N41" i="9"/>
  <c r="N42" i="9"/>
  <c r="N43" i="9"/>
  <c r="N44" i="9"/>
  <c r="N45" i="9"/>
  <c r="N46" i="9"/>
  <c r="N47" i="9"/>
  <c r="N48" i="9"/>
  <c r="N49" i="9"/>
  <c r="N50" i="9"/>
  <c r="N51" i="9"/>
  <c r="N52" i="9"/>
  <c r="N53" i="9"/>
  <c r="N54" i="9"/>
  <c r="N55" i="9"/>
  <c r="M40" i="9"/>
  <c r="M41" i="9"/>
  <c r="M42" i="9"/>
  <c r="M43" i="9"/>
  <c r="M44" i="9"/>
  <c r="M45" i="9"/>
  <c r="M46" i="9"/>
  <c r="M47" i="9"/>
  <c r="M48" i="9"/>
  <c r="M49" i="9"/>
  <c r="M50" i="9"/>
  <c r="M51" i="9"/>
  <c r="M52" i="9"/>
  <c r="M53" i="9"/>
  <c r="M54" i="9"/>
  <c r="M55" i="9"/>
  <c r="L55" i="9"/>
  <c r="G40" i="9"/>
  <c r="G41" i="9"/>
  <c r="G42" i="9"/>
  <c r="G43" i="9"/>
  <c r="G44" i="9"/>
  <c r="G45" i="9"/>
  <c r="G46" i="9"/>
  <c r="G47" i="9"/>
  <c r="G48" i="9"/>
  <c r="G49" i="9"/>
  <c r="G50" i="9"/>
  <c r="G51" i="9"/>
  <c r="G52" i="9"/>
  <c r="G53" i="9"/>
  <c r="G54" i="9"/>
  <c r="G55" i="9"/>
  <c r="F40" i="9"/>
  <c r="F41" i="9"/>
  <c r="F42" i="9"/>
  <c r="F43" i="9"/>
  <c r="F44" i="9"/>
  <c r="F45" i="9"/>
  <c r="F46" i="9"/>
  <c r="F47" i="9"/>
  <c r="F48" i="9"/>
  <c r="F49" i="9"/>
  <c r="F50" i="9"/>
  <c r="F51" i="9"/>
  <c r="F52" i="9"/>
  <c r="F53" i="9"/>
  <c r="F54" i="9"/>
  <c r="F55" i="9"/>
  <c r="C40" i="9"/>
  <c r="C41" i="9"/>
  <c r="C42" i="9"/>
  <c r="C43" i="9"/>
  <c r="C44" i="9"/>
  <c r="C45" i="9"/>
  <c r="C46" i="9"/>
  <c r="C47" i="9"/>
  <c r="C48" i="9"/>
  <c r="C49" i="9"/>
  <c r="C50" i="9"/>
  <c r="C51" i="9"/>
  <c r="C52" i="9"/>
  <c r="C53" i="9"/>
  <c r="C54" i="9"/>
  <c r="C55" i="9"/>
  <c r="J54" i="9"/>
  <c r="D54" i="9"/>
  <c r="B36" i="9"/>
  <c r="B54" i="9"/>
  <c r="S53" i="9"/>
  <c r="L53" i="9"/>
  <c r="J53" i="9"/>
  <c r="D53" i="9"/>
  <c r="B35" i="9"/>
  <c r="B53" i="9"/>
  <c r="S52" i="9"/>
  <c r="L52" i="9"/>
  <c r="J52" i="9"/>
  <c r="D52" i="9"/>
  <c r="B34" i="9"/>
  <c r="B52" i="9"/>
  <c r="S51" i="9"/>
  <c r="L51" i="9"/>
  <c r="J51" i="9"/>
  <c r="D51" i="9"/>
  <c r="B33" i="9"/>
  <c r="B51" i="9"/>
  <c r="S50" i="9"/>
  <c r="L50" i="9"/>
  <c r="J50" i="9"/>
  <c r="D50" i="9"/>
  <c r="B32" i="9"/>
  <c r="B50" i="9"/>
  <c r="S49" i="9"/>
  <c r="L49" i="9"/>
  <c r="J49" i="9"/>
  <c r="D49" i="9"/>
  <c r="B31" i="9"/>
  <c r="B49" i="9"/>
  <c r="S48" i="9"/>
  <c r="L48" i="9"/>
  <c r="J48" i="9"/>
  <c r="D48" i="9"/>
  <c r="B30" i="9"/>
  <c r="B48" i="9"/>
  <c r="S47" i="9"/>
  <c r="L47" i="9"/>
  <c r="J47" i="9"/>
  <c r="D47" i="9"/>
  <c r="S46" i="9"/>
  <c r="L46" i="9"/>
  <c r="J46" i="9"/>
  <c r="D46" i="9"/>
  <c r="S45" i="9"/>
  <c r="L45" i="9"/>
  <c r="J45" i="9"/>
  <c r="D45" i="9"/>
  <c r="B27" i="9"/>
  <c r="B45" i="9"/>
  <c r="S44" i="9"/>
  <c r="L44" i="9"/>
  <c r="J44" i="9"/>
  <c r="D44" i="9"/>
  <c r="B26" i="9"/>
  <c r="B44" i="9"/>
  <c r="S43" i="9"/>
  <c r="L43" i="9"/>
  <c r="J43" i="9"/>
  <c r="D43" i="9"/>
  <c r="B25" i="9"/>
  <c r="B43" i="9"/>
  <c r="S42" i="9"/>
  <c r="L42" i="9"/>
  <c r="J42" i="9"/>
  <c r="D42" i="9"/>
  <c r="B24" i="9"/>
  <c r="B42" i="9"/>
  <c r="S41" i="9"/>
  <c r="L41" i="9"/>
  <c r="J41" i="9"/>
  <c r="D41" i="9"/>
  <c r="B23" i="9"/>
  <c r="B41" i="9"/>
  <c r="S40" i="9"/>
  <c r="L40" i="9"/>
  <c r="J40" i="9"/>
  <c r="D40" i="9"/>
  <c r="B22" i="9"/>
  <c r="B40" i="9"/>
  <c r="P37" i="9"/>
  <c r="H37" i="9"/>
  <c r="S37" i="9"/>
  <c r="R37" i="9"/>
  <c r="O37" i="9"/>
  <c r="N37" i="9"/>
  <c r="M37" i="9"/>
  <c r="J37" i="9"/>
  <c r="G37" i="9"/>
  <c r="F37" i="9"/>
  <c r="D37" i="9"/>
  <c r="S35" i="9"/>
  <c r="S34" i="9"/>
  <c r="S33" i="9"/>
  <c r="S32" i="9"/>
  <c r="S31" i="9"/>
  <c r="S30" i="9"/>
  <c r="S29" i="9"/>
  <c r="S28" i="9"/>
  <c r="S27" i="9"/>
  <c r="S26" i="9"/>
  <c r="S25" i="9"/>
  <c r="S24" i="9"/>
  <c r="S23" i="9"/>
  <c r="S22" i="9"/>
  <c r="P19" i="9"/>
  <c r="H19" i="9"/>
  <c r="S19" i="9"/>
  <c r="R19" i="9"/>
  <c r="O19" i="9"/>
  <c r="N19" i="9"/>
  <c r="M19" i="9"/>
  <c r="J19" i="9"/>
  <c r="G19" i="9"/>
  <c r="F19" i="9"/>
  <c r="D19" i="9"/>
  <c r="S17" i="9"/>
  <c r="S16" i="9"/>
  <c r="S15" i="9"/>
  <c r="S14" i="9"/>
  <c r="S13" i="9"/>
  <c r="S12" i="9"/>
  <c r="S11" i="9"/>
  <c r="S10" i="9"/>
  <c r="S9" i="9"/>
  <c r="S8" i="9"/>
  <c r="S7" i="9"/>
  <c r="S6" i="9"/>
  <c r="S5" i="9"/>
  <c r="S4" i="9"/>
  <c r="K23" i="7"/>
  <c r="J23" i="7"/>
  <c r="L23" i="7"/>
  <c r="G23" i="7"/>
  <c r="F23" i="7"/>
  <c r="H23" i="7"/>
  <c r="C23" i="7"/>
  <c r="B23" i="7"/>
  <c r="D23" i="7"/>
  <c r="K21" i="7"/>
  <c r="J21" i="7"/>
  <c r="L21" i="7"/>
  <c r="G21" i="7"/>
  <c r="F21" i="7"/>
  <c r="H21" i="7"/>
  <c r="C21" i="7"/>
  <c r="B21" i="7"/>
  <c r="D21" i="7"/>
  <c r="G20" i="7"/>
  <c r="F20" i="7"/>
  <c r="H20" i="7"/>
  <c r="C20" i="7"/>
  <c r="B20" i="7"/>
  <c r="D20" i="7"/>
  <c r="J18" i="7"/>
  <c r="G3" i="7"/>
  <c r="G4" i="7"/>
  <c r="G5" i="7"/>
  <c r="G6" i="7"/>
  <c r="G7" i="7"/>
  <c r="G8" i="7"/>
  <c r="G9" i="7"/>
  <c r="G10" i="7"/>
  <c r="G11" i="7"/>
  <c r="G12" i="7"/>
  <c r="G13" i="7"/>
  <c r="G14" i="7"/>
  <c r="G15" i="7"/>
  <c r="G16" i="7"/>
  <c r="G17" i="7"/>
  <c r="G18" i="7"/>
  <c r="F3" i="7"/>
  <c r="F4" i="7"/>
  <c r="F5" i="7"/>
  <c r="F6" i="7"/>
  <c r="F7" i="7"/>
  <c r="F8" i="7"/>
  <c r="F9" i="7"/>
  <c r="F10" i="7"/>
  <c r="F11" i="7"/>
  <c r="F12" i="7"/>
  <c r="F13" i="7"/>
  <c r="F14" i="7"/>
  <c r="F15" i="7"/>
  <c r="F16" i="7"/>
  <c r="F17" i="7"/>
  <c r="F18" i="7"/>
  <c r="H18" i="7"/>
  <c r="C3" i="7"/>
  <c r="C4" i="7"/>
  <c r="C5" i="7"/>
  <c r="C6" i="7"/>
  <c r="C7" i="7"/>
  <c r="C8" i="7"/>
  <c r="C9" i="7"/>
  <c r="C10" i="7"/>
  <c r="C11" i="7"/>
  <c r="C12" i="7"/>
  <c r="C13" i="7"/>
  <c r="C14" i="7"/>
  <c r="C15" i="7"/>
  <c r="C16" i="7"/>
  <c r="C17" i="7"/>
  <c r="C18" i="7"/>
  <c r="B3" i="7"/>
  <c r="B4" i="7"/>
  <c r="B5" i="7"/>
  <c r="B6" i="7"/>
  <c r="B7" i="7"/>
  <c r="B8" i="7"/>
  <c r="B9" i="7"/>
  <c r="B10" i="7"/>
  <c r="B11" i="7"/>
  <c r="B12" i="7"/>
  <c r="B13" i="7"/>
  <c r="B14" i="7"/>
  <c r="B15" i="7"/>
  <c r="B16" i="7"/>
  <c r="B17" i="7"/>
  <c r="B18" i="7"/>
  <c r="D18" i="7"/>
  <c r="A18" i="7"/>
  <c r="K17" i="7"/>
  <c r="J17" i="7"/>
  <c r="L17" i="7"/>
  <c r="H17" i="7"/>
  <c r="D17" i="7"/>
  <c r="A17" i="7"/>
  <c r="K16" i="7"/>
  <c r="J16" i="7"/>
  <c r="L16" i="7"/>
  <c r="H16" i="7"/>
  <c r="D16" i="7"/>
  <c r="A16" i="7"/>
  <c r="K15" i="7"/>
  <c r="J15" i="7"/>
  <c r="L15" i="7"/>
  <c r="H15" i="7"/>
  <c r="D15" i="7"/>
  <c r="A15" i="7"/>
  <c r="K14" i="7"/>
  <c r="J14" i="7"/>
  <c r="L14" i="7"/>
  <c r="H14" i="7"/>
  <c r="D14" i="7"/>
  <c r="A14" i="7"/>
  <c r="K13" i="7"/>
  <c r="J13" i="7"/>
  <c r="L13" i="7"/>
  <c r="H13" i="7"/>
  <c r="D13" i="7"/>
  <c r="A13" i="7"/>
  <c r="K12" i="7"/>
  <c r="J12" i="7"/>
  <c r="L12" i="7"/>
  <c r="H12" i="7"/>
  <c r="D12" i="7"/>
  <c r="A12" i="7"/>
  <c r="K11" i="7"/>
  <c r="J11" i="7"/>
  <c r="L11" i="7"/>
  <c r="H11" i="7"/>
  <c r="D11" i="7"/>
  <c r="A11" i="7"/>
  <c r="K10" i="7"/>
  <c r="J10" i="7"/>
  <c r="L10" i="7"/>
  <c r="H10" i="7"/>
  <c r="D10" i="7"/>
  <c r="A10" i="7"/>
  <c r="K9" i="7"/>
  <c r="J9" i="7"/>
  <c r="L9" i="7"/>
  <c r="H9" i="7"/>
  <c r="D9" i="7"/>
  <c r="A9" i="7"/>
  <c r="K8" i="7"/>
  <c r="J8" i="7"/>
  <c r="L8" i="7"/>
  <c r="H8" i="7"/>
  <c r="D8" i="7"/>
  <c r="A8" i="7"/>
  <c r="K7" i="7"/>
  <c r="J7" i="7"/>
  <c r="L7" i="7"/>
  <c r="H7" i="7"/>
  <c r="D7" i="7"/>
  <c r="A7" i="7"/>
  <c r="K6" i="7"/>
  <c r="J6" i="7"/>
  <c r="L6" i="7"/>
  <c r="H6" i="7"/>
  <c r="D6" i="7"/>
  <c r="A6" i="7"/>
  <c r="K5" i="7"/>
  <c r="J5" i="7"/>
  <c r="L5" i="7"/>
  <c r="H5" i="7"/>
  <c r="D5" i="7"/>
  <c r="A5" i="7"/>
  <c r="K4" i="7"/>
  <c r="J4" i="7"/>
  <c r="L4" i="7"/>
  <c r="H4" i="7"/>
  <c r="D4" i="7"/>
  <c r="A4" i="7"/>
  <c r="K3" i="7"/>
  <c r="J3" i="7"/>
  <c r="L3" i="7"/>
  <c r="H3" i="7"/>
  <c r="D3" i="7"/>
  <c r="A3" i="7"/>
  <c r="L29" i="1"/>
  <c r="C33" i="2"/>
  <c r="K29" i="1"/>
  <c r="B33" i="2"/>
  <c r="L28" i="1"/>
  <c r="C32" i="2"/>
  <c r="K28" i="1"/>
  <c r="B32" i="2"/>
  <c r="K27" i="1"/>
  <c r="B31" i="2"/>
  <c r="L19" i="1"/>
  <c r="L20" i="1"/>
  <c r="L21" i="1"/>
  <c r="L22" i="1"/>
  <c r="L23" i="1"/>
  <c r="L24" i="1"/>
  <c r="L25" i="1"/>
  <c r="L26" i="1"/>
  <c r="C30" i="2"/>
  <c r="K19" i="1"/>
  <c r="K20" i="1"/>
  <c r="K21" i="1"/>
  <c r="K22" i="1"/>
  <c r="K23" i="1"/>
  <c r="K24" i="1"/>
  <c r="K25" i="1"/>
  <c r="K26" i="1"/>
  <c r="B30" i="2"/>
  <c r="E30" i="2"/>
  <c r="M26" i="1"/>
  <c r="D30" i="2"/>
  <c r="M25" i="1"/>
  <c r="D29" i="2"/>
  <c r="C29" i="2"/>
  <c r="B29" i="2"/>
  <c r="M24" i="1"/>
  <c r="D28" i="2"/>
  <c r="C28" i="2"/>
  <c r="B28" i="2"/>
  <c r="M23" i="1"/>
  <c r="D27" i="2"/>
  <c r="C27" i="2"/>
  <c r="B27" i="2"/>
  <c r="M22" i="1"/>
  <c r="D26" i="2"/>
  <c r="C26" i="2"/>
  <c r="B26" i="2"/>
  <c r="M21" i="1"/>
  <c r="D25" i="2"/>
  <c r="C25" i="2"/>
  <c r="B25" i="2"/>
  <c r="M20" i="1"/>
  <c r="D24" i="2"/>
  <c r="C24" i="2"/>
  <c r="B24" i="2"/>
  <c r="M19" i="1"/>
  <c r="D23" i="2"/>
  <c r="C23" i="2"/>
  <c r="B23" i="2"/>
  <c r="B17" i="2"/>
  <c r="A17" i="2"/>
  <c r="K16" i="2"/>
  <c r="B16" i="2"/>
  <c r="A16" i="2"/>
  <c r="K15" i="2"/>
  <c r="B15" i="2"/>
  <c r="A15" i="2"/>
  <c r="K14" i="2"/>
  <c r="B14" i="2"/>
  <c r="A14" i="2"/>
  <c r="K13" i="2"/>
  <c r="B13" i="2"/>
  <c r="A13" i="2"/>
  <c r="K12" i="2"/>
  <c r="B12" i="2"/>
  <c r="A12" i="2"/>
  <c r="K11" i="2"/>
  <c r="B11" i="2"/>
  <c r="A11" i="2"/>
  <c r="K10" i="2"/>
  <c r="B10" i="2"/>
  <c r="A10" i="2"/>
  <c r="K9" i="2"/>
  <c r="B9" i="2"/>
  <c r="A9" i="2"/>
  <c r="K8" i="2"/>
  <c r="B8" i="2"/>
  <c r="A8" i="2"/>
  <c r="K7" i="2"/>
  <c r="B7" i="2"/>
  <c r="A7" i="2"/>
  <c r="K5" i="2"/>
  <c r="K6" i="2"/>
  <c r="L6" i="2"/>
  <c r="A6" i="2"/>
  <c r="B5" i="2"/>
  <c r="A5" i="2"/>
  <c r="K3" i="2"/>
  <c r="K4" i="2"/>
  <c r="B4" i="2"/>
  <c r="A4" i="2"/>
  <c r="B3" i="2"/>
  <c r="A3" i="2"/>
  <c r="D33" i="1"/>
  <c r="D34" i="1"/>
  <c r="D36" i="1"/>
  <c r="E38" i="1"/>
  <c r="E35" i="1"/>
  <c r="N26" i="1"/>
  <c r="C19" i="1"/>
  <c r="D19" i="1"/>
  <c r="J137" i="9"/>
  <c r="L27" i="1"/>
  <c r="C31" i="2"/>
  <c r="K18" i="7"/>
  <c r="L18" i="7"/>
  <c r="D55" i="9"/>
  <c r="J20" i="7"/>
  <c r="J55" i="9"/>
  <c r="K20" i="7"/>
  <c r="L20" i="7"/>
  <c r="D99" i="9"/>
  <c r="J99" i="9"/>
  <c r="D118" i="9"/>
  <c r="J118" i="9"/>
</calcChain>
</file>

<file path=xl/sharedStrings.xml><?xml version="1.0" encoding="utf-8"?>
<sst xmlns="http://schemas.openxmlformats.org/spreadsheetml/2006/main" count="352" uniqueCount="262">
  <si>
    <t>DOMESTIC (RESIDENTS)</t>
  </si>
  <si>
    <t>Global assumptions</t>
  </si>
  <si>
    <t>Total household consumer spending by category - DOMESTIC HOUSEHOLDS (2013, millions)</t>
  </si>
  <si>
    <t>new "very low" VAT rate</t>
  </si>
  <si>
    <t>Source: Eurostat, include any VAT</t>
  </si>
  <si>
    <t>adjusted</t>
  </si>
  <si>
    <t>VAT rate</t>
  </si>
  <si>
    <t>new "low" VAT rate</t>
  </si>
  <si>
    <t>Bread &amp; milk</t>
  </si>
  <si>
    <t>new "standard" VAT rate</t>
  </si>
  <si>
    <t>Other food</t>
  </si>
  <si>
    <t>Books</t>
  </si>
  <si>
    <t>Newspapers &amp; periodicals</t>
  </si>
  <si>
    <t>% improvement in VAT collection efforts with new VAT regime</t>
  </si>
  <si>
    <t>Pharmaceuticals</t>
  </si>
  <si>
    <t>Water, electricity &amp; gas</t>
  </si>
  <si>
    <t>Alcohol</t>
  </si>
  <si>
    <t>% of Greek population in "favourable regime" islands</t>
  </si>
  <si>
    <t>approximates domestic consumer spending</t>
  </si>
  <si>
    <t>Clothing and footwear</t>
  </si>
  <si>
    <t>% of tourist spending in Noth &amp; South Aegean islands</t>
  </si>
  <si>
    <t>tourist spending distribution</t>
  </si>
  <si>
    <t>Fuel</t>
  </si>
  <si>
    <t>Hotels</t>
  </si>
  <si>
    <t>Expected compliance on cash transactions</t>
  </si>
  <si>
    <t>to reconcile actual VAT revenues of 2013</t>
  </si>
  <si>
    <t>Restaurants</t>
  </si>
  <si>
    <t>Tobacco</t>
  </si>
  <si>
    <t>Rest of 13% products &amp; services</t>
  </si>
  <si>
    <t>Rest of 23% products &amp; services</t>
  </si>
  <si>
    <t>Summary</t>
  </si>
  <si>
    <t>VAT revenues</t>
  </si>
  <si>
    <t>Products &amp; services where VAT not applied</t>
  </si>
  <si>
    <t>Products &amp; services currently at</t>
  </si>
  <si>
    <t>Current (2013)</t>
  </si>
  <si>
    <t>Projected</t>
  </si>
  <si>
    <t>∆</t>
  </si>
  <si>
    <t>Total</t>
  </si>
  <si>
    <t>VAT not applicable</t>
  </si>
  <si>
    <t>TOURISTS (NON-RESIDENTS)</t>
  </si>
  <si>
    <t>Total tourist spending in Greece (2013, millions)</t>
  </si>
  <si>
    <t>Source: Elstat,  Institute of Tourist Research &amp; Forecasting</t>
  </si>
  <si>
    <t>Total (ELSTAT, 2013)</t>
  </si>
  <si>
    <t>Transport</t>
  </si>
  <si>
    <t>Policy rate (weighted avg)</t>
  </si>
  <si>
    <t>Purchases etc</t>
  </si>
  <si>
    <t>Compliance rate</t>
  </si>
  <si>
    <t>Culture &amp; entertainment</t>
  </si>
  <si>
    <t>Effective VAT rate</t>
  </si>
  <si>
    <t>Unknown</t>
  </si>
  <si>
    <t>TOTAL TAXABLE BASE</t>
  </si>
  <si>
    <t>Domestic consumption</t>
  </si>
  <si>
    <t>Tourist consumption</t>
  </si>
  <si>
    <t>Other tourist exports</t>
  </si>
  <si>
    <t>TOTAL</t>
  </si>
  <si>
    <t>DECLARED BASE 2013</t>
  </si>
  <si>
    <t>ACTUAL VAT REVENUES 2013 (NET)</t>
  </si>
  <si>
    <t>Policy</t>
  </si>
  <si>
    <t>Overrides</t>
  </si>
  <si>
    <t>Elasticities scenarios</t>
  </si>
  <si>
    <t>Current rate</t>
  </si>
  <si>
    <t>New rate</t>
  </si>
  <si>
    <t>Elasticity</t>
  </si>
  <si>
    <t>Compliance</t>
  </si>
  <si>
    <t>Elasticities
IOBE</t>
  </si>
  <si>
    <t>Unit Elasticities</t>
  </si>
  <si>
    <t>Zero elasticities</t>
  </si>
  <si>
    <t>Tweaked elasticities</t>
  </si>
  <si>
    <t>Selected</t>
  </si>
  <si>
    <t>Current</t>
  </si>
  <si>
    <t>Final consumption</t>
  </si>
  <si>
    <t>VAT Policy rate</t>
  </si>
  <si>
    <t>Residents</t>
  </si>
  <si>
    <t>Tourists</t>
  </si>
  <si>
    <t>Island residents</t>
  </si>
  <si>
    <t>Current spending &amp; VAT revenue</t>
  </si>
  <si>
    <t>Projected spending &amp; VAT revenue</t>
  </si>
  <si>
    <t>Difference</t>
  </si>
  <si>
    <t>Difference%</t>
  </si>
  <si>
    <t>Gross retail expenditure</t>
  </si>
  <si>
    <t>Net Retail expenditure</t>
  </si>
  <si>
    <t>Theoretical VAT revenues on 100% compliance</t>
  </si>
  <si>
    <t>Total VAT revenues</t>
  </si>
  <si>
    <t>New VAT rate</t>
  </si>
  <si>
    <t>New compliance</t>
  </si>
  <si>
    <t>1. DOMESTIC Mainland (excl "favourable regime" islands)</t>
  </si>
  <si>
    <t>TOTAL mainland</t>
  </si>
  <si>
    <t>2. DOMESTIC "Favourable regime" Islands</t>
  </si>
  <si>
    <t>TOTAL islands</t>
  </si>
  <si>
    <t>3 = 1+2 Totals</t>
  </si>
  <si>
    <t>DOMESTIC GRAND TOTAL</t>
  </si>
  <si>
    <t>check</t>
  </si>
  <si>
    <t>4. Tourists - Mainland</t>
  </si>
  <si>
    <t>Total tourists mainland</t>
  </si>
  <si>
    <t>5. TOURISTS - ISLANDS</t>
  </si>
  <si>
    <t>Total tourists islands</t>
  </si>
  <si>
    <t>4+5 TOURISTS total</t>
  </si>
  <si>
    <t>Total tourists</t>
  </si>
  <si>
    <t>1+4 TOTALS MAINLAND</t>
  </si>
  <si>
    <t>Total mainland</t>
  </si>
  <si>
    <t>2+5 TOTALS ISLANDS</t>
  </si>
  <si>
    <t>Islands total</t>
  </si>
  <si>
    <t>3+6 GRAND TOTAL</t>
  </si>
  <si>
    <t>GRAND TOTAL</t>
  </si>
  <si>
    <t>Current policy framework</t>
  </si>
  <si>
    <t>Proposed policy framework</t>
  </si>
  <si>
    <t>ELSTAT HOUSEHOLD SURVEY</t>
  </si>
  <si>
    <t>1 Deci</t>
  </si>
  <si>
    <t>ELSTAT HOUSEHOLD SURVEY - WEIGHTS PER DECI</t>
  </si>
  <si>
    <t>WEIGHTS APPLIED ON EUROSTAT CATEGORY TOTALS</t>
  </si>
  <si>
    <t>Final Consumption Expenditure Household Survey (Million Euro)</t>
  </si>
  <si>
    <t>Million Euro</t>
  </si>
  <si>
    <t>Current VAT category</t>
  </si>
  <si>
    <t>SUM</t>
  </si>
  <si>
    <t>Food</t>
  </si>
  <si>
    <t>mixed</t>
  </si>
  <si>
    <t>Non-alcoholic beverages</t>
  </si>
  <si>
    <t>Alcoholic beverages</t>
  </si>
  <si>
    <t>Tobacco</t>
  </si>
  <si>
    <t>Clothing</t>
  </si>
  <si>
    <t>Footwear</t>
  </si>
  <si>
    <t>Actual rentals for housing</t>
  </si>
  <si>
    <t>Imputed rentals for housing</t>
  </si>
  <si>
    <t>Maintenance and repair of the dwelling</t>
  </si>
  <si>
    <t>Water supply and miscellaneous services relating to the dwelling</t>
  </si>
  <si>
    <t>Electricity, gas and other fuels</t>
  </si>
  <si>
    <t>Furniture and furnishings, carpets and other floor coverings</t>
  </si>
  <si>
    <t>Household textiles</t>
  </si>
  <si>
    <t>Household appliances</t>
  </si>
  <si>
    <t>Glassware, tableware and household utensils</t>
  </si>
  <si>
    <t>Tools and equipment for house and garden</t>
  </si>
  <si>
    <t>Goods and services for routine household maintenance</t>
  </si>
  <si>
    <t>Medical products, appliances and equipment</t>
  </si>
  <si>
    <t>Out-patient services</t>
  </si>
  <si>
    <t>Hospital services</t>
  </si>
  <si>
    <t>Purchase of vehicles</t>
  </si>
  <si>
    <t>Fuel &amp; Operation of personal transport equipment</t>
  </si>
  <si>
    <t>Transport services</t>
  </si>
  <si>
    <t>Postal services</t>
  </si>
  <si>
    <t>Telephone and telefax equipment</t>
  </si>
  <si>
    <t>Telephone and telefax services</t>
  </si>
  <si>
    <t>Audio-visual, photographic and information processing equipment</t>
  </si>
  <si>
    <t>Other major durables for recreation and culture</t>
  </si>
  <si>
    <t>Other recreational items and equipment, gardens and pets</t>
  </si>
  <si>
    <t>Recreational and cultural services</t>
  </si>
  <si>
    <t>Newspapers, books and stationery</t>
  </si>
  <si>
    <t>Package holidays</t>
  </si>
  <si>
    <t>Pre-primary and primary education</t>
  </si>
  <si>
    <t>Secondary education</t>
  </si>
  <si>
    <t>Post-secondary non-tertiary education</t>
  </si>
  <si>
    <t>Tertiary education</t>
  </si>
  <si>
    <t>Education not definable by level</t>
  </si>
  <si>
    <t>Catering services</t>
  </si>
  <si>
    <t>Accommodation services</t>
  </si>
  <si>
    <t>Personal care</t>
  </si>
  <si>
    <t>Personal effects n.e.c.</t>
  </si>
  <si>
    <t>Social protection</t>
  </si>
  <si>
    <t>Insurance</t>
  </si>
  <si>
    <t>Financial services n.e.c.</t>
  </si>
  <si>
    <t>Other services n.e.c.</t>
  </si>
  <si>
    <t>Ανατ. Μακεδονία &amp; Θράκη</t>
  </si>
  <si>
    <t>16,61%</t>
  </si>
  <si>
    <t>19,35%</t>
  </si>
  <si>
    <t>20,07%</t>
  </si>
  <si>
    <t>30,93%</t>
  </si>
  <si>
    <t>3,92%</t>
  </si>
  <si>
    <t>9,12%</t>
  </si>
  <si>
    <t>Κεντρ. Μακεδονία</t>
  </si>
  <si>
    <t>17,25%</t>
  </si>
  <si>
    <t>19,74%</t>
  </si>
  <si>
    <t>11,07%</t>
  </si>
  <si>
    <t>34,17%</t>
  </si>
  <si>
    <t>3,27%</t>
  </si>
  <si>
    <t>14,50%</t>
  </si>
  <si>
    <t>Δυτ. Μακεδονία</t>
  </si>
  <si>
    <t>11,40%</t>
  </si>
  <si>
    <t>15,59%</t>
  </si>
  <si>
    <t>14,26%</t>
  </si>
  <si>
    <t>45,21%</t>
  </si>
  <si>
    <t>4,22%</t>
  </si>
  <si>
    <t>9,32%</t>
  </si>
  <si>
    <t>Ήπειρος</t>
  </si>
  <si>
    <t>12,75%</t>
  </si>
  <si>
    <t>14,57%</t>
  </si>
  <si>
    <t>16,87%</t>
  </si>
  <si>
    <t>46,27%</t>
  </si>
  <si>
    <t>2,36%</t>
  </si>
  <si>
    <t>7,18%</t>
  </si>
  <si>
    <t>Θεσσαλία</t>
  </si>
  <si>
    <t>21,55%</t>
  </si>
  <si>
    <t>22,30%</t>
  </si>
  <si>
    <t>13,69%</t>
  </si>
  <si>
    <t>27,04%</t>
  </si>
  <si>
    <t>4,11%</t>
  </si>
  <si>
    <t>11,31%</t>
  </si>
  <si>
    <t>Ιόνια</t>
  </si>
  <si>
    <t>26,82%</t>
  </si>
  <si>
    <t>25,91%</t>
  </si>
  <si>
    <t>9,38%</t>
  </si>
  <si>
    <t>19,23%</t>
  </si>
  <si>
    <t>5,42%</t>
  </si>
  <si>
    <t>13,25%</t>
  </si>
  <si>
    <t>Δυτική Ελλάδα</t>
  </si>
  <si>
    <t>22,42%</t>
  </si>
  <si>
    <t>20,84%</t>
  </si>
  <si>
    <t>14,30%</t>
  </si>
  <si>
    <t>25,31%</t>
  </si>
  <si>
    <t>4,98%</t>
  </si>
  <si>
    <t>12,16%</t>
  </si>
  <si>
    <t>Στερεά</t>
  </si>
  <si>
    <t>22,56%</t>
  </si>
  <si>
    <t>21,29%</t>
  </si>
  <si>
    <t>12,45%</t>
  </si>
  <si>
    <t>23,97%</t>
  </si>
  <si>
    <t>5,78%</t>
  </si>
  <si>
    <t>13,96%</t>
  </si>
  <si>
    <t>Πελοπόννησος</t>
  </si>
  <si>
    <t>25,64%</t>
  </si>
  <si>
    <t>23,01%</t>
  </si>
  <si>
    <t>13,32%</t>
  </si>
  <si>
    <t>20,88%</t>
  </si>
  <si>
    <t>4,65%</t>
  </si>
  <si>
    <t>12,50%</t>
  </si>
  <si>
    <t>Αττική</t>
  </si>
  <si>
    <t>22,75%</t>
  </si>
  <si>
    <t>22,18%</t>
  </si>
  <si>
    <t>15,44%</t>
  </si>
  <si>
    <t>23,56%</t>
  </si>
  <si>
    <t>5,08%</t>
  </si>
  <si>
    <t>10,98%</t>
  </si>
  <si>
    <t>Βόρειο Αιγαίο</t>
  </si>
  <si>
    <t>26,24%</t>
  </si>
  <si>
    <t>22,62%</t>
  </si>
  <si>
    <t>14,23%</t>
  </si>
  <si>
    <t>20,26%</t>
  </si>
  <si>
    <t>4,59%</t>
  </si>
  <si>
    <t>12,07%</t>
  </si>
  <si>
    <t>Νότιο Αιγαίο</t>
  </si>
  <si>
    <t>28,48%</t>
  </si>
  <si>
    <t>23,42%</t>
  </si>
  <si>
    <t>10,01%</t>
  </si>
  <si>
    <t>18,18%</t>
  </si>
  <si>
    <t>5,82%</t>
  </si>
  <si>
    <t>14,09%</t>
  </si>
  <si>
    <t>Κρήτη</t>
  </si>
  <si>
    <t>27,01%</t>
  </si>
  <si>
    <t>22,19%</t>
  </si>
  <si>
    <t>10,18%</t>
  </si>
  <si>
    <t>19,31%</t>
  </si>
  <si>
    <t>6,32%</t>
  </si>
  <si>
    <t>14,99%</t>
  </si>
  <si>
    <t>done with cash</t>
  </si>
  <si>
    <t>Simplifications:</t>
  </si>
  <si>
    <t>assumptions and structures related to cash/non-cash and rate discounts were removed- net spending derived without reference to cash/non-cash effects</t>
  </si>
  <si>
    <t>there is a single "compliance" factor that reconciles the modelled revenues with actual revenues (and variability of compliance for different categories were removed as discussed).</t>
  </si>
  <si>
    <t>Classifications:</t>
  </si>
  <si>
    <t>a new sheet is added providing the construction of the model's categories from ESTAT base data, presenting the weights that were asked yesterday</t>
  </si>
  <si>
    <t>minor re-classifications were done vs. previous version e.g. non-alcoholic beverages were split between "food" and "other products &amp; services", financial services fully allocated in the exempt category.</t>
  </si>
  <si>
    <t>In addition, and following your comments regarding the exemptions from VAT, mainly for "frontistiria" (private education services) and medical centres, we would like to affirm that the Ministry of Finance is willing to re-examine the relevant ministerial decrees.</t>
  </si>
  <si>
    <t>Furthermore and regarding the elasticities from OECD, we consulted the latest working paper (No 1174) titled: "New tax and expenditure elasticity estimates for EU budget surveillance" of Dec. 11, 2014. Based on this paper, for Greece, the assumption for the consumption elasticity is 0.81, and for output gap elasticity is 1.0 (Table 7).  We ran the model with these assumptions, and we found: a) for 0.81, a fiscal impact of around € 1 billion (i.e. an additional € 57m in comparison to the elasticities we used in the model) and b) for 1.0, a fiscal impact of around € 982 million (i.e. an additional € 23m in comparison to the elasticities used in the model).</t>
  </si>
  <si>
    <t>Best, </t>
  </si>
  <si>
    <t>Natasha (on behalf of the team)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</si>
</sst>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_-\€* #,##0.00_-;&quot;-€&quot;* #,##0.00_-;_-\€* \-??_-;_-@_-"/>
    <numFmt numFmtId="166" formatCode="_-\€* #,##0_-;&quot;-€&quot;* #,##0_-;_-\€* \-??_-;_-@_-"/>
    <numFmt numFmtId="167" formatCode="_-* #,##0.00_-;\-* #,##0.00_-;_-* \-??_-;_-@_-"/>
    <numFmt numFmtId="168" formatCode="_-[$€-2]\ * #,##0_-;\-[$€-2]\ * #,##0_-;_-[$€-2]\ * \-??_-;_-@_-"/>
  </numFmts>
  <fonts count="9" x14ac:knownFonts="1">
    <font>
      <sz val="11"/>
      <color rgb="FF000000"/>
      <name val="Calibri"/>
      <family val="2"/>
      <charset val="1"/>
    </font>
    <font>
      <b/>
      <sz val="11"/>
      <color rgb="FF000000"/>
      <name val="Calibri"/>
      <family val="2"/>
      <charset val="161"/>
    </font>
    <font>
      <b/>
      <sz val="11"/>
      <color rgb="FFFF0000"/>
      <name val="Calibri"/>
      <family val="2"/>
      <charset val="161"/>
    </font>
    <font>
      <i/>
      <sz val="11"/>
      <color rgb="FF000000"/>
      <name val="Calibri"/>
      <family val="2"/>
      <charset val="161"/>
    </font>
    <font>
      <sz val="11"/>
      <color rgb="FF000000"/>
      <name val="Calibri"/>
      <family val="2"/>
      <charset val="161"/>
    </font>
    <font>
      <b/>
      <sz val="11"/>
      <name val="Calibri"/>
      <family val="2"/>
      <charset val="161"/>
    </font>
    <font>
      <sz val="11"/>
      <name val="Calibri"/>
      <family val="2"/>
      <charset val="1"/>
    </font>
    <font>
      <sz val="11"/>
      <color rgb="FFFF0000"/>
      <name val="Calibri"/>
      <family val="2"/>
      <charset val="1"/>
    </font>
    <font>
      <sz val="16"/>
      <color rgb="FF000000"/>
      <name val="Helvetica Neue"/>
    </font>
  </fonts>
  <fills count="5">
    <fill>
      <patternFill patternType="none"/>
    </fill>
    <fill>
      <patternFill patternType="gray125"/>
    </fill>
    <fill>
      <patternFill patternType="solid">
        <fgColor rgb="FFFFFF00"/>
        <bgColor rgb="FFFFFF00"/>
      </patternFill>
    </fill>
    <fill>
      <patternFill patternType="solid">
        <fgColor rgb="FF969696"/>
        <bgColor rgb="FF878787"/>
      </patternFill>
    </fill>
    <fill>
      <patternFill patternType="solid">
        <fgColor rgb="FFBFBFBF"/>
        <bgColor rgb="FFCCCCFF"/>
      </patternFill>
    </fill>
  </fills>
  <borders count="9">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4">
    <xf numFmtId="0" fontId="0" fillId="0" borderId="0"/>
    <xf numFmtId="167" fontId="4" fillId="0" borderId="0" applyBorder="0" applyProtection="0"/>
    <xf numFmtId="165" fontId="4" fillId="0" borderId="0" applyBorder="0" applyProtection="0"/>
    <xf numFmtId="9" fontId="4" fillId="0" borderId="0" applyBorder="0" applyProtection="0"/>
  </cellStyleXfs>
  <cellXfs count="95">
    <xf numFmtId="0" fontId="0" fillId="0" borderId="0" xfId="0"/>
    <xf numFmtId="0" fontId="1" fillId="0" borderId="0" xfId="0" applyFont="1"/>
    <xf numFmtId="0" fontId="1" fillId="2" borderId="0" xfId="0" applyFont="1" applyFill="1"/>
    <xf numFmtId="0" fontId="0" fillId="2" borderId="0" xfId="0" applyFill="1"/>
    <xf numFmtId="0" fontId="0" fillId="2" borderId="0" xfId="0" applyFont="1" applyFill="1" applyAlignment="1">
      <alignment horizontal="right"/>
    </xf>
    <xf numFmtId="164" fontId="2" fillId="2" borderId="0" xfId="0" applyNumberFormat="1" applyFont="1" applyFill="1"/>
    <xf numFmtId="0" fontId="3" fillId="0" borderId="0" xfId="0" applyFont="1" applyAlignment="1">
      <alignment horizontal="center"/>
    </xf>
    <xf numFmtId="0" fontId="4" fillId="0" borderId="0" xfId="0" applyFont="1"/>
    <xf numFmtId="166" fontId="0" fillId="0" borderId="0" xfId="2" applyNumberFormat="1" applyFont="1" applyBorder="1" applyAlignment="1" applyProtection="1"/>
    <xf numFmtId="164" fontId="0" fillId="0" borderId="0" xfId="0" applyNumberFormat="1"/>
    <xf numFmtId="9" fontId="2" fillId="2" borderId="0" xfId="0" applyNumberFormat="1" applyFont="1" applyFill="1"/>
    <xf numFmtId="0" fontId="4" fillId="2" borderId="0" xfId="0" applyFont="1" applyFill="1" applyAlignment="1">
      <alignment horizontal="right"/>
    </xf>
    <xf numFmtId="10" fontId="5" fillId="2" borderId="0" xfId="0" applyNumberFormat="1" applyFont="1" applyFill="1"/>
    <xf numFmtId="0" fontId="6" fillId="0" borderId="0" xfId="0" applyFont="1"/>
    <xf numFmtId="164" fontId="1" fillId="2" borderId="0" xfId="0" applyNumberFormat="1" applyFont="1" applyFill="1"/>
    <xf numFmtId="9" fontId="1" fillId="2" borderId="0" xfId="0" applyNumberFormat="1" applyFont="1" applyFill="1"/>
    <xf numFmtId="9" fontId="5" fillId="2" borderId="0" xfId="0" applyNumberFormat="1" applyFont="1" applyFill="1"/>
    <xf numFmtId="0" fontId="0" fillId="0" borderId="0" xfId="0" applyAlignment="1">
      <alignment horizontal="center" wrapText="1"/>
    </xf>
    <xf numFmtId="0" fontId="1" fillId="0" borderId="1" xfId="0" applyFont="1" applyBorder="1"/>
    <xf numFmtId="0" fontId="0" fillId="0" borderId="2" xfId="0" applyBorder="1"/>
    <xf numFmtId="0" fontId="0" fillId="0" borderId="3" xfId="0" applyBorder="1"/>
    <xf numFmtId="9" fontId="0" fillId="0" borderId="0" xfId="3" applyFont="1" applyBorder="1" applyAlignment="1" applyProtection="1"/>
    <xf numFmtId="0" fontId="0" fillId="0" borderId="4" xfId="0" applyFont="1" applyBorder="1"/>
    <xf numFmtId="0" fontId="0" fillId="0" borderId="0" xfId="0" applyBorder="1"/>
    <xf numFmtId="0" fontId="0" fillId="0" borderId="0" xfId="0" applyFont="1" applyBorder="1" applyAlignment="1">
      <alignment horizontal="center" wrapText="1"/>
    </xf>
    <xf numFmtId="0" fontId="4" fillId="0" borderId="5" xfId="0" applyFont="1" applyBorder="1" applyAlignment="1">
      <alignment horizontal="center" wrapText="1"/>
    </xf>
    <xf numFmtId="166" fontId="0" fillId="0" borderId="0" xfId="3" applyNumberFormat="1" applyFont="1" applyBorder="1" applyAlignment="1" applyProtection="1"/>
    <xf numFmtId="164" fontId="0" fillId="0" borderId="0" xfId="0" applyNumberFormat="1" applyFont="1" applyBorder="1" applyAlignment="1">
      <alignment horizontal="right"/>
    </xf>
    <xf numFmtId="166" fontId="0" fillId="0" borderId="5" xfId="0" applyNumberFormat="1" applyBorder="1"/>
    <xf numFmtId="164" fontId="0" fillId="0" borderId="0" xfId="0" applyNumberFormat="1" applyBorder="1"/>
    <xf numFmtId="166" fontId="0" fillId="0" borderId="0" xfId="0" applyNumberFormat="1"/>
    <xf numFmtId="0" fontId="1" fillId="0" borderId="0" xfId="0" applyFont="1" applyBorder="1" applyAlignment="1">
      <alignment horizontal="right"/>
    </xf>
    <xf numFmtId="0" fontId="1" fillId="0" borderId="0" xfId="0" applyFont="1" applyBorder="1"/>
    <xf numFmtId="166" fontId="1" fillId="0" borderId="0" xfId="2" applyNumberFormat="1" applyFont="1" applyBorder="1" applyAlignment="1" applyProtection="1"/>
    <xf numFmtId="166" fontId="1" fillId="0" borderId="5" xfId="0" applyNumberFormat="1" applyFont="1" applyBorder="1"/>
    <xf numFmtId="0" fontId="0" fillId="0" borderId="0" xfId="0" applyFont="1" applyBorder="1" applyAlignment="1">
      <alignment horizontal="right"/>
    </xf>
    <xf numFmtId="164" fontId="0" fillId="0" borderId="0" xfId="3" applyNumberFormat="1" applyFont="1" applyBorder="1" applyAlignment="1" applyProtection="1">
      <alignment horizontal="right" indent="1"/>
    </xf>
    <xf numFmtId="0" fontId="0" fillId="0" borderId="5" xfId="0" applyBorder="1"/>
    <xf numFmtId="0" fontId="0" fillId="0" borderId="6" xfId="0" applyBorder="1"/>
    <xf numFmtId="0" fontId="0" fillId="0" borderId="7" xfId="0" applyBorder="1"/>
    <xf numFmtId="0" fontId="0" fillId="0" borderId="7" xfId="0" applyFont="1" applyBorder="1" applyAlignment="1">
      <alignment horizontal="right"/>
    </xf>
    <xf numFmtId="164" fontId="0" fillId="0" borderId="7" xfId="3" applyNumberFormat="1" applyFont="1" applyBorder="1" applyAlignment="1" applyProtection="1">
      <alignment horizontal="right" indent="1"/>
    </xf>
    <xf numFmtId="0" fontId="0" fillId="0" borderId="8" xfId="0" applyBorder="1"/>
    <xf numFmtId="165" fontId="0" fillId="0" borderId="0" xfId="0" applyNumberFormat="1"/>
    <xf numFmtId="166" fontId="1" fillId="0" borderId="0" xfId="0" applyNumberFormat="1" applyFont="1"/>
    <xf numFmtId="9" fontId="1" fillId="0" borderId="0" xfId="0" applyNumberFormat="1" applyFont="1"/>
    <xf numFmtId="164" fontId="0" fillId="0" borderId="0" xfId="3" applyNumberFormat="1" applyFont="1" applyBorder="1" applyAlignment="1" applyProtection="1"/>
    <xf numFmtId="0" fontId="3" fillId="0" borderId="0" xfId="0" applyFont="1" applyAlignment="1">
      <alignment horizontal="center" wrapText="1"/>
    </xf>
    <xf numFmtId="164" fontId="7" fillId="0" borderId="0" xfId="0" applyNumberFormat="1" applyFont="1"/>
    <xf numFmtId="0" fontId="6" fillId="0" borderId="0" xfId="0" applyFont="1" applyAlignment="1">
      <alignment horizontal="center"/>
    </xf>
    <xf numFmtId="0" fontId="7" fillId="0" borderId="0" xfId="0" applyFont="1"/>
    <xf numFmtId="164" fontId="0" fillId="0" borderId="4" xfId="0" applyNumberFormat="1" applyFont="1" applyBorder="1" applyAlignment="1">
      <alignment horizontal="right"/>
    </xf>
    <xf numFmtId="166" fontId="0" fillId="0" borderId="5" xfId="2" applyNumberFormat="1" applyFont="1" applyBorder="1" applyAlignment="1" applyProtection="1"/>
    <xf numFmtId="164" fontId="0" fillId="0" borderId="4" xfId="0" applyNumberFormat="1" applyBorder="1"/>
    <xf numFmtId="0" fontId="1" fillId="0" borderId="4" xfId="0" applyFont="1" applyBorder="1" applyAlignment="1">
      <alignment horizontal="right"/>
    </xf>
    <xf numFmtId="0" fontId="0" fillId="0" borderId="4" xfId="0" applyFont="1" applyBorder="1" applyAlignment="1">
      <alignment horizontal="right"/>
    </xf>
    <xf numFmtId="164" fontId="0" fillId="0" borderId="5" xfId="3" applyNumberFormat="1" applyFont="1" applyBorder="1" applyAlignment="1" applyProtection="1"/>
    <xf numFmtId="0" fontId="0" fillId="0" borderId="6" xfId="0" applyFont="1" applyBorder="1" applyAlignment="1">
      <alignment horizontal="right"/>
    </xf>
    <xf numFmtId="164" fontId="0" fillId="0" borderId="7" xfId="3" applyNumberFormat="1" applyFont="1" applyBorder="1" applyAlignment="1" applyProtection="1"/>
    <xf numFmtId="164" fontId="0" fillId="0" borderId="8" xfId="3" applyNumberFormat="1" applyFont="1" applyBorder="1" applyAlignment="1" applyProtection="1"/>
    <xf numFmtId="0" fontId="0" fillId="0" borderId="0" xfId="0" applyAlignment="1">
      <alignment horizontal="center"/>
    </xf>
    <xf numFmtId="0" fontId="0" fillId="0" borderId="0" xfId="0" applyFont="1" applyAlignment="1">
      <alignment horizontal="center"/>
    </xf>
    <xf numFmtId="0" fontId="4" fillId="0" borderId="0" xfId="0" applyFont="1" applyAlignment="1">
      <alignment horizontal="center"/>
    </xf>
    <xf numFmtId="164" fontId="0" fillId="0" borderId="0" xfId="3" applyNumberFormat="1" applyFont="1" applyBorder="1" applyAlignment="1" applyProtection="1">
      <alignment horizontal="center"/>
    </xf>
    <xf numFmtId="166" fontId="0" fillId="0" borderId="0" xfId="0" applyNumberFormat="1" applyAlignment="1">
      <alignment horizontal="center"/>
    </xf>
    <xf numFmtId="164" fontId="0" fillId="0" borderId="0" xfId="0" applyNumberFormat="1" applyAlignment="1">
      <alignment horizontal="center"/>
    </xf>
    <xf numFmtId="9" fontId="0" fillId="0" borderId="0" xfId="0" applyNumberFormat="1"/>
    <xf numFmtId="164" fontId="1" fillId="0" borderId="0" xfId="3" applyNumberFormat="1" applyFont="1" applyBorder="1" applyAlignment="1" applyProtection="1">
      <alignment horizontal="center"/>
    </xf>
    <xf numFmtId="166" fontId="1" fillId="0" borderId="0" xfId="0" applyNumberFormat="1" applyFont="1" applyAlignment="1">
      <alignment horizontal="center"/>
    </xf>
    <xf numFmtId="164" fontId="1" fillId="0" borderId="0" xfId="0" applyNumberFormat="1" applyFont="1" applyAlignment="1">
      <alignment horizontal="center"/>
    </xf>
    <xf numFmtId="0" fontId="1" fillId="3" borderId="0" xfId="0" applyFont="1" applyFill="1" applyAlignment="1">
      <alignment horizontal="center"/>
    </xf>
    <xf numFmtId="0" fontId="4" fillId="0" borderId="0" xfId="0" applyFont="1" applyAlignment="1">
      <alignment horizontal="center" wrapText="1"/>
    </xf>
    <xf numFmtId="9" fontId="2" fillId="0" borderId="0" xfId="0" applyNumberFormat="1" applyFont="1"/>
    <xf numFmtId="9" fontId="6" fillId="0" borderId="0" xfId="0" applyNumberFormat="1" applyFont="1"/>
    <xf numFmtId="164" fontId="6" fillId="0" borderId="0" xfId="0" applyNumberFormat="1" applyFont="1"/>
    <xf numFmtId="9" fontId="6" fillId="0" borderId="0" xfId="3" applyFont="1" applyBorder="1" applyAlignment="1" applyProtection="1"/>
    <xf numFmtId="167" fontId="0" fillId="0" borderId="0" xfId="1" applyFont="1" applyBorder="1" applyAlignment="1" applyProtection="1"/>
    <xf numFmtId="9" fontId="0" fillId="0" borderId="0" xfId="1" applyNumberFormat="1" applyFont="1" applyBorder="1" applyAlignment="1" applyProtection="1"/>
    <xf numFmtId="168" fontId="0" fillId="0" borderId="0" xfId="2" applyNumberFormat="1" applyFont="1" applyBorder="1" applyAlignment="1" applyProtection="1"/>
    <xf numFmtId="10" fontId="0" fillId="0" borderId="0" xfId="3" applyNumberFormat="1" applyFont="1" applyBorder="1" applyAlignment="1" applyProtection="1"/>
    <xf numFmtId="10" fontId="7" fillId="0" borderId="0" xfId="3" applyNumberFormat="1" applyFont="1" applyBorder="1" applyAlignment="1" applyProtection="1"/>
    <xf numFmtId="1" fontId="0" fillId="0" borderId="0" xfId="0" applyNumberFormat="1"/>
    <xf numFmtId="1" fontId="7" fillId="0" borderId="0" xfId="0" applyNumberFormat="1" applyFont="1"/>
    <xf numFmtId="0" fontId="0" fillId="0" borderId="0" xfId="0" applyAlignment="1">
      <alignment horizontal="right"/>
    </xf>
    <xf numFmtId="0" fontId="0" fillId="0" borderId="0" xfId="0" applyFont="1" applyAlignment="1">
      <alignment horizontal="right"/>
    </xf>
    <xf numFmtId="0" fontId="1" fillId="0" borderId="0" xfId="0" applyFont="1" applyAlignment="1">
      <alignment horizontal="left"/>
    </xf>
    <xf numFmtId="166" fontId="0" fillId="0" borderId="0" xfId="2" applyNumberFormat="1" applyFont="1" applyBorder="1" applyAlignment="1" applyProtection="1">
      <alignment horizontal="right"/>
    </xf>
    <xf numFmtId="164" fontId="0" fillId="0" borderId="0" xfId="3" applyNumberFormat="1" applyFont="1" applyBorder="1" applyAlignment="1" applyProtection="1">
      <alignment horizontal="right"/>
    </xf>
    <xf numFmtId="166" fontId="0" fillId="0" borderId="0" xfId="0" applyNumberFormat="1" applyAlignment="1">
      <alignment horizontal="right"/>
    </xf>
    <xf numFmtId="9" fontId="7" fillId="0" borderId="0" xfId="0" applyNumberFormat="1" applyFont="1" applyAlignment="1">
      <alignment horizontal="right"/>
    </xf>
    <xf numFmtId="0" fontId="8" fillId="0" borderId="0" xfId="0" applyFont="1"/>
    <xf numFmtId="0" fontId="0" fillId="3" borderId="2" xfId="0" applyFont="1" applyFill="1" applyBorder="1" applyAlignment="1">
      <alignment horizontal="center"/>
    </xf>
    <xf numFmtId="0" fontId="1" fillId="4" borderId="0" xfId="0" applyFont="1" applyFill="1" applyBorder="1" applyAlignment="1">
      <alignment horizontal="center"/>
    </xf>
    <xf numFmtId="0" fontId="0" fillId="2" borderId="0" xfId="0" applyFont="1" applyFill="1" applyBorder="1" applyAlignment="1">
      <alignment horizontal="center"/>
    </xf>
    <xf numFmtId="0" fontId="1" fillId="3" borderId="0"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Medium4"/>
  <colors>
    <indexedColors>
      <rgbColor rgb="FF000000"/>
      <rgbColor rgb="FFFFFFFF"/>
      <rgbColor rgb="FFFF0000"/>
      <rgbColor rgb="FF00FF00"/>
      <rgbColor rgb="FF0000FF"/>
      <rgbColor rgb="FFFFFF00"/>
      <rgbColor rgb="FFFF00FF"/>
      <rgbColor rgb="FF00FFFF"/>
      <rgbColor rgb="FFC00000"/>
      <rgbColor rgb="FF008000"/>
      <rgbColor rgb="FF000080"/>
      <rgbColor rgb="FF98B855"/>
      <rgbColor rgb="FF800080"/>
      <rgbColor rgb="FF008080"/>
      <rgbColor rgb="FFBFBFBF"/>
      <rgbColor rgb="FF878787"/>
      <rgbColor rgb="FF9999FF"/>
      <rgbColor rgb="FFBE4B48"/>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2D05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c:style val="18"/>
  <c:chart>
    <c:autoTitleDeleted val="1"/>
    <c:plotArea>
      <c:layout/>
      <c:lineChart>
        <c:grouping val="standard"/>
        <c:varyColors val="1"/>
        <c:ser>
          <c:idx val="0"/>
          <c:order val="0"/>
          <c:spPr>
            <a:ln w="47520">
              <a:solidFill>
                <a:srgbClr val="BE4B48"/>
              </a:solidFill>
              <a:round/>
            </a:ln>
          </c:spPr>
          <c:marker>
            <c:symbol val="square"/>
            <c:size val="5"/>
            <c:spPr>
              <a:solidFill>
                <a:srgbClr val="000000"/>
              </a:solidFill>
            </c:spPr>
          </c:marker>
          <c:dLbls>
            <c:dLblPos val="r"/>
            <c:showLegendKey val="0"/>
            <c:showVal val="0"/>
            <c:showCatName val="0"/>
            <c:showSerName val="0"/>
            <c:showPercent val="0"/>
            <c:showBubbleSize val="1"/>
            <c:showLeaderLines val="0"/>
          </c:dLbls>
          <c:val>
            <c:numRef>
              <c:f>Distribution!$B$2:$K$2</c:f>
              <c:numCache>
                <c:formatCode>General</c:formatCode>
                <c:ptCount val="10"/>
                <c:pt idx="0">
                  <c:v>0.151339014959203</c:v>
                </c:pt>
                <c:pt idx="1">
                  <c:v>0.155178423648056</c:v>
                </c:pt>
                <c:pt idx="2">
                  <c:v>0.157956697635247</c:v>
                </c:pt>
                <c:pt idx="3">
                  <c:v>0.161101751102892</c:v>
                </c:pt>
                <c:pt idx="4">
                  <c:v>0.163941847307353</c:v>
                </c:pt>
                <c:pt idx="5">
                  <c:v>0.1648444098096</c:v>
                </c:pt>
                <c:pt idx="6">
                  <c:v>0.167305615730505</c:v>
                </c:pt>
                <c:pt idx="7">
                  <c:v>0.16814574447281</c:v>
                </c:pt>
                <c:pt idx="8">
                  <c:v>0.168171514751789</c:v>
                </c:pt>
                <c:pt idx="9">
                  <c:v>0.172217550776277</c:v>
                </c:pt>
              </c:numCache>
            </c:numRef>
          </c:val>
          <c:smooth val="0"/>
        </c:ser>
        <c:ser>
          <c:idx val="1"/>
          <c:order val="1"/>
          <c:spPr>
            <a:ln w="47520">
              <a:solidFill>
                <a:srgbClr val="98B855"/>
              </a:solidFill>
              <a:round/>
            </a:ln>
          </c:spPr>
          <c:marker>
            <c:symbol val="square"/>
            <c:size val="5"/>
            <c:spPr>
              <a:solidFill>
                <a:srgbClr val="000000"/>
              </a:solidFill>
            </c:spPr>
          </c:marker>
          <c:dLbls>
            <c:dLblPos val="r"/>
            <c:showLegendKey val="0"/>
            <c:showVal val="0"/>
            <c:showCatName val="0"/>
            <c:showSerName val="0"/>
            <c:showPercent val="0"/>
            <c:showBubbleSize val="1"/>
            <c:showLeaderLines val="0"/>
          </c:dLbls>
          <c:val>
            <c:numRef>
              <c:f>Distribution!$B$3:$K$3</c:f>
              <c:numCache>
                <c:formatCode>General</c:formatCode>
                <c:ptCount val="10"/>
                <c:pt idx="0">
                  <c:v>0.150178113358559</c:v>
                </c:pt>
                <c:pt idx="1">
                  <c:v>0.154746437941382</c:v>
                </c:pt>
                <c:pt idx="2">
                  <c:v>0.1584208889606</c:v>
                </c:pt>
                <c:pt idx="3">
                  <c:v>0.161063767988036</c:v>
                </c:pt>
                <c:pt idx="4">
                  <c:v>0.16552905130054</c:v>
                </c:pt>
                <c:pt idx="5">
                  <c:v>0.165771557066717</c:v>
                </c:pt>
                <c:pt idx="6">
                  <c:v>0.167993342233361</c:v>
                </c:pt>
                <c:pt idx="7">
                  <c:v>0.170881623881898</c:v>
                </c:pt>
                <c:pt idx="8">
                  <c:v>0.172231250749865</c:v>
                </c:pt>
                <c:pt idx="9">
                  <c:v>0.181436488108341</c:v>
                </c:pt>
              </c:numCache>
            </c:numRef>
          </c:val>
          <c:smooth val="0"/>
        </c:ser>
        <c:ser>
          <c:idx val="2"/>
          <c:order val="2"/>
          <c:spPr>
            <a:ln w="28440">
              <a:solidFill>
                <a:srgbClr val="FFFFFF"/>
              </a:solidFill>
              <a:round/>
            </a:ln>
          </c:spPr>
          <c:marker>
            <c:symbol val="square"/>
            <c:size val="5"/>
            <c:spPr>
              <a:solidFill>
                <a:srgbClr val="000000"/>
              </a:solidFill>
            </c:spPr>
          </c:marker>
          <c:smooth val="0"/>
        </c:ser>
        <c:ser>
          <c:idx val="3"/>
          <c:order val="3"/>
          <c:spPr>
            <a:ln>
              <a:noFill/>
            </a:ln>
          </c:spPr>
          <c:marker>
            <c:symbol val="square"/>
            <c:size val="5"/>
            <c:spPr>
              <a:solidFill>
                <a:srgbClr val="000000"/>
              </a:solidFill>
            </c:spPr>
          </c:marker>
          <c:smooth val="0"/>
        </c:ser>
        <c:dLbls>
          <c:showLegendKey val="0"/>
          <c:showVal val="0"/>
          <c:showCatName val="0"/>
          <c:showSerName val="0"/>
          <c:showPercent val="0"/>
          <c:showBubbleSize val="0"/>
        </c:dLbls>
        <c:hiLowLines>
          <c:spPr>
            <a:ln>
              <a:noFill/>
            </a:ln>
          </c:spPr>
        </c:hiLowLines>
        <c:upDownBars>
          <c:gapWidth val="150"/>
          <c:upBars/>
          <c:downBars/>
        </c:upDownBars>
        <c:marker val="1"/>
        <c:smooth val="0"/>
        <c:axId val="2116999368"/>
        <c:axId val="2117005016"/>
      </c:lineChart>
      <c:catAx>
        <c:axId val="2116999368"/>
        <c:scaling>
          <c:orientation val="minMax"/>
        </c:scaling>
        <c:delete val="0"/>
        <c:axPos val="b"/>
        <c:title>
          <c:tx>
            <c:rich>
              <a:bodyPr/>
              <a:lstStyle/>
              <a:p>
                <a:pPr>
                  <a:defRPr/>
                </a:pPr>
                <a:r>
                  <a:rPr sz="1600" b="1">
                    <a:solidFill>
                      <a:srgbClr val="000000"/>
                    </a:solidFill>
                    <a:latin typeface="Calibri"/>
                  </a:rPr>
                  <a:t>Income deciles</a:t>
                </a:r>
              </a:p>
            </c:rich>
          </c:tx>
          <c:overlay val="1"/>
        </c:title>
        <c:majorTickMark val="out"/>
        <c:minorTickMark val="none"/>
        <c:tickLblPos val="nextTo"/>
        <c:spPr>
          <a:ln w="9360">
            <a:solidFill>
              <a:srgbClr val="878787"/>
            </a:solidFill>
            <a:round/>
          </a:ln>
        </c:spPr>
        <c:crossAx val="2117005016"/>
        <c:crosses val="autoZero"/>
        <c:auto val="1"/>
        <c:lblAlgn val="ctr"/>
        <c:lblOffset val="100"/>
        <c:noMultiLvlLbl val="1"/>
      </c:catAx>
      <c:valAx>
        <c:axId val="2117005016"/>
        <c:scaling>
          <c:orientation val="minMax"/>
          <c:max val="0.22"/>
          <c:min val="0.1"/>
        </c:scaling>
        <c:delete val="0"/>
        <c:axPos val="l"/>
        <c:majorGridlines>
          <c:spPr>
            <a:ln w="9360">
              <a:solidFill>
                <a:srgbClr val="878787"/>
              </a:solidFill>
              <a:round/>
            </a:ln>
          </c:spPr>
        </c:majorGridlines>
        <c:title>
          <c:tx>
            <c:rich>
              <a:bodyPr/>
              <a:lstStyle/>
              <a:p>
                <a:pPr>
                  <a:defRPr/>
                </a:pPr>
                <a:r>
                  <a:rPr sz="1600" b="1">
                    <a:solidFill>
                      <a:srgbClr val="000000"/>
                    </a:solidFill>
                    <a:latin typeface="Calibri"/>
                  </a:rPr>
                  <a:t>effective VAT policy rate</a:t>
                </a:r>
              </a:p>
            </c:rich>
          </c:tx>
          <c:overlay val="1"/>
        </c:title>
        <c:numFmt formatCode="General" sourceLinked="0"/>
        <c:majorTickMark val="out"/>
        <c:minorTickMark val="none"/>
        <c:tickLblPos val="nextTo"/>
        <c:spPr>
          <a:ln w="9360">
            <a:solidFill>
              <a:srgbClr val="878787"/>
            </a:solidFill>
            <a:round/>
          </a:ln>
        </c:spPr>
        <c:crossAx val="2116999368"/>
        <c:crosses val="autoZero"/>
        <c:crossBetween val="between"/>
      </c:valAx>
      <c:spPr>
        <a:solidFill>
          <a:srgbClr val="FFFFFF"/>
        </a:solidFill>
        <a:ln>
          <a:noFill/>
        </a:ln>
      </c:spPr>
    </c:plotArea>
    <c:plotVisOnly val="1"/>
    <c:dispBlanksAs val="zero"/>
    <c:showDLblsOverMax val="1"/>
  </c:chart>
  <c:spPr>
    <a:solidFill>
      <a:srgbClr val="FFFFFF"/>
    </a:solidFill>
    <a:ln>
      <a:noFill/>
    </a:ln>
  </c:spPr>
  <c:printSettings>
    <c:headerFooter/>
    <c:pageMargins b="1.0" l="0.75" r="0.75" t="1.0" header="0.5" footer="0.5"/>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11</xdr:col>
      <xdr:colOff>837000</xdr:colOff>
      <xdr:row>13</xdr:row>
      <xdr:rowOff>34920</xdr:rowOff>
    </xdr:from>
    <xdr:to>
      <xdr:col>13</xdr:col>
      <xdr:colOff>53280</xdr:colOff>
      <xdr:row>14</xdr:row>
      <xdr:rowOff>108360</xdr:rowOff>
    </xdr:to>
    <xdr:sp macro="" textlink="">
      <xdr:nvSpPr>
        <xdr:cNvPr id="2" name="CustomShape 1"/>
        <xdr:cNvSpPr/>
      </xdr:nvSpPr>
      <xdr:spPr>
        <a:xfrm>
          <a:off x="11184840" y="2511360"/>
          <a:ext cx="961200" cy="263880"/>
        </a:xfrm>
        <a:prstGeom prst="flowChartProcess">
          <a:avLst/>
        </a:prstGeom>
        <a:noFill/>
        <a:ln>
          <a:noFill/>
        </a:ln>
        <a:scene3d>
          <a:camera prst="orthographicFront"/>
          <a:lightRig rig="threePt" dir="t"/>
        </a:scene3d>
      </xdr:spPr>
      <xdr:style>
        <a:lnRef idx="2">
          <a:schemeClr val="accent1">
            <a:shade val="50000"/>
          </a:schemeClr>
        </a:lnRef>
        <a:fillRef idx="1">
          <a:schemeClr val="accent1"/>
        </a:fillRef>
        <a:effectRef idx="0">
          <a:schemeClr val="accent1"/>
        </a:effectRef>
        <a:fontRef idx="minor"/>
      </xdr:style>
      <xdr:txBody>
        <a:bodyPr lIns="90000" tIns="45000" rIns="90000" bIns="45000"/>
        <a:lstStyle/>
        <a:p>
          <a:pPr algn="ctr">
            <a:lnSpc>
              <a:spcPct val="100000"/>
            </a:lnSpc>
          </a:pPr>
          <a:r>
            <a:rPr lang="en-US" sz="1200" b="1" strike="noStrike">
              <a:solidFill>
                <a:srgbClr val="FFFFFF"/>
              </a:solidFill>
              <a:latin typeface="Calibri"/>
            </a:rPr>
            <a:t>RUN</a:t>
          </a:r>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54000</xdr:colOff>
      <xdr:row>0</xdr:row>
      <xdr:rowOff>0</xdr:rowOff>
    </xdr:from>
    <xdr:to>
      <xdr:col>14</xdr:col>
      <xdr:colOff>313560</xdr:colOff>
      <xdr:row>38</xdr:row>
      <xdr:rowOff>108720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401400</xdr:colOff>
      <xdr:row>20</xdr:row>
      <xdr:rowOff>11520</xdr:rowOff>
    </xdr:from>
    <xdr:to>
      <xdr:col>6</xdr:col>
      <xdr:colOff>220320</xdr:colOff>
      <xdr:row>22</xdr:row>
      <xdr:rowOff>39600</xdr:rowOff>
    </xdr:to>
    <xdr:sp macro="" textlink="">
      <xdr:nvSpPr>
        <xdr:cNvPr id="3" name="CustomShape 1"/>
        <xdr:cNvSpPr/>
      </xdr:nvSpPr>
      <xdr:spPr>
        <a:xfrm>
          <a:off x="1601280" y="3262680"/>
          <a:ext cx="2219400" cy="3531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lstStyle/>
        <a:p>
          <a:r>
            <a:rPr lang="en-US" sz="1400" b="1" strike="noStrike">
              <a:solidFill>
                <a:srgbClr val="C00000"/>
              </a:solidFill>
              <a:latin typeface="Times New Roman"/>
            </a:rPr>
            <a:t>Current policy framework</a:t>
          </a:r>
          <a:endParaRPr/>
        </a:p>
      </xdr:txBody>
    </xdr:sp>
    <xdr:clientData/>
  </xdr:twoCellAnchor>
  <xdr:twoCellAnchor editAs="absolute">
    <xdr:from>
      <xdr:col>2</xdr:col>
      <xdr:colOff>399240</xdr:colOff>
      <xdr:row>13</xdr:row>
      <xdr:rowOff>74520</xdr:rowOff>
    </xdr:from>
    <xdr:to>
      <xdr:col>6</xdr:col>
      <xdr:colOff>352440</xdr:colOff>
      <xdr:row>15</xdr:row>
      <xdr:rowOff>102600</xdr:rowOff>
    </xdr:to>
    <xdr:sp macro="" textlink="">
      <xdr:nvSpPr>
        <xdr:cNvPr id="4" name="CustomShape 1"/>
        <xdr:cNvSpPr/>
      </xdr:nvSpPr>
      <xdr:spPr>
        <a:xfrm>
          <a:off x="1599120" y="2187720"/>
          <a:ext cx="2353680" cy="3531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lstStyle/>
        <a:p>
          <a:r>
            <a:rPr lang="en-US" sz="1400" b="1" strike="noStrike">
              <a:solidFill>
                <a:srgbClr val="92D050"/>
              </a:solidFill>
              <a:latin typeface="Times New Roman"/>
            </a:rPr>
            <a:t>Proposed policy framework</a:t>
          </a:r>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opLeftCell="A8" zoomScale="80" zoomScaleNormal="80" zoomScalePageLayoutView="80" workbookViewId="0">
      <selection activeCell="E38" sqref="E38"/>
    </sheetView>
  </sheetViews>
  <sheetFormatPr baseColWidth="10" defaultColWidth="8.83203125" defaultRowHeight="14" x14ac:dyDescent="0"/>
  <sheetData>
    <row r="1" spans="1:15">
      <c r="A1" s="1" t="s">
        <v>0</v>
      </c>
      <c r="G1" s="2" t="s">
        <v>1</v>
      </c>
      <c r="H1" s="3"/>
      <c r="I1" s="3"/>
      <c r="J1" s="3"/>
      <c r="K1" s="3"/>
      <c r="L1" s="3"/>
      <c r="M1" s="3"/>
    </row>
    <row r="2" spans="1:15">
      <c r="A2" s="1" t="s">
        <v>2</v>
      </c>
      <c r="G2" s="3"/>
      <c r="H2" s="3"/>
      <c r="I2" s="3"/>
      <c r="J2" s="3"/>
      <c r="K2" s="3"/>
      <c r="L2" s="4" t="s">
        <v>3</v>
      </c>
      <c r="M2" s="5">
        <v>0.06</v>
      </c>
    </row>
    <row r="3" spans="1:15">
      <c r="A3" s="1" t="s">
        <v>4</v>
      </c>
      <c r="D3" s="6" t="s">
        <v>5</v>
      </c>
      <c r="E3" s="6" t="s">
        <v>6</v>
      </c>
      <c r="G3" s="3"/>
      <c r="H3" s="3"/>
      <c r="I3" s="3"/>
      <c r="J3" s="3"/>
      <c r="K3" s="3"/>
      <c r="L3" s="4" t="s">
        <v>7</v>
      </c>
      <c r="M3" s="5">
        <v>0.11</v>
      </c>
    </row>
    <row r="4" spans="1:15">
      <c r="A4" s="7">
        <v>1</v>
      </c>
      <c r="B4" t="s">
        <v>8</v>
      </c>
      <c r="C4" s="8">
        <v>7407</v>
      </c>
      <c r="D4" s="8">
        <v>7407</v>
      </c>
      <c r="E4" s="9">
        <v>0.13</v>
      </c>
      <c r="G4" s="3"/>
      <c r="H4" s="3"/>
      <c r="I4" s="3"/>
      <c r="J4" s="3"/>
      <c r="K4" s="3"/>
      <c r="L4" s="4" t="s">
        <v>9</v>
      </c>
      <c r="M4" s="5">
        <v>0.23</v>
      </c>
    </row>
    <row r="5" spans="1:15">
      <c r="A5" s="7">
        <v>2</v>
      </c>
      <c r="B5" t="s">
        <v>10</v>
      </c>
      <c r="C5" s="8">
        <v>14652</v>
      </c>
      <c r="D5" s="8">
        <v>14652</v>
      </c>
      <c r="E5" s="9">
        <v>0.13</v>
      </c>
      <c r="G5" s="3"/>
      <c r="H5" s="3"/>
      <c r="I5" s="3"/>
      <c r="J5" s="3"/>
      <c r="K5" s="3"/>
      <c r="L5" s="4"/>
      <c r="M5" s="10"/>
    </row>
    <row r="6" spans="1:15">
      <c r="A6" s="7">
        <v>3</v>
      </c>
      <c r="B6" t="s">
        <v>11</v>
      </c>
      <c r="C6" s="8">
        <v>389</v>
      </c>
      <c r="D6" s="8">
        <v>389</v>
      </c>
      <c r="E6" s="9">
        <v>6.5000000000000002E-2</v>
      </c>
      <c r="G6" s="3"/>
      <c r="H6" s="3"/>
      <c r="I6" s="3"/>
      <c r="J6" s="3"/>
      <c r="K6" s="3"/>
      <c r="L6" s="4"/>
      <c r="M6" s="10"/>
    </row>
    <row r="7" spans="1:15">
      <c r="A7" s="7">
        <v>4</v>
      </c>
      <c r="B7" t="s">
        <v>12</v>
      </c>
      <c r="C7" s="8">
        <v>465</v>
      </c>
      <c r="D7" s="8">
        <v>465</v>
      </c>
      <c r="E7" s="9">
        <v>6.5000000000000002E-2</v>
      </c>
      <c r="G7" s="3"/>
      <c r="H7" s="3"/>
      <c r="I7" s="3"/>
      <c r="J7" s="3"/>
      <c r="K7" s="3"/>
      <c r="L7" s="4" t="s">
        <v>13</v>
      </c>
      <c r="M7" s="10">
        <v>0.04</v>
      </c>
    </row>
    <row r="8" spans="1:15">
      <c r="A8" s="7">
        <v>5</v>
      </c>
      <c r="B8" t="s">
        <v>14</v>
      </c>
      <c r="C8" s="8">
        <v>1843</v>
      </c>
      <c r="D8" s="8">
        <v>1843</v>
      </c>
      <c r="E8" s="9">
        <v>6.5000000000000002E-2</v>
      </c>
      <c r="G8" s="3"/>
      <c r="H8" s="3"/>
      <c r="I8" s="3"/>
      <c r="J8" s="3"/>
      <c r="K8" s="3"/>
      <c r="L8" s="4"/>
      <c r="M8" s="10"/>
    </row>
    <row r="9" spans="1:15">
      <c r="A9" s="7">
        <v>6</v>
      </c>
      <c r="B9" t="s">
        <v>15</v>
      </c>
      <c r="C9" s="8">
        <v>3326</v>
      </c>
      <c r="D9" s="8">
        <v>3326</v>
      </c>
      <c r="E9" s="9">
        <v>0.13</v>
      </c>
      <c r="G9" s="3"/>
      <c r="H9" s="3"/>
      <c r="I9" s="3"/>
      <c r="J9" s="3"/>
      <c r="K9" s="3"/>
      <c r="L9" s="3"/>
      <c r="M9" s="3"/>
    </row>
    <row r="10" spans="1:15">
      <c r="A10" s="7">
        <v>7</v>
      </c>
      <c r="B10" t="s">
        <v>16</v>
      </c>
      <c r="C10" s="8">
        <v>1206</v>
      </c>
      <c r="D10" s="8">
        <v>1206</v>
      </c>
      <c r="E10" s="9">
        <v>0.23</v>
      </c>
      <c r="G10" s="3"/>
      <c r="H10" s="3"/>
      <c r="I10" s="3"/>
      <c r="J10" s="3"/>
      <c r="K10" s="3"/>
      <c r="L10" s="11" t="s">
        <v>17</v>
      </c>
      <c r="M10" s="12">
        <v>5.3400000000000003E-2</v>
      </c>
      <c r="N10" s="13" t="s">
        <v>18</v>
      </c>
    </row>
    <row r="11" spans="1:15">
      <c r="A11" s="7">
        <v>8</v>
      </c>
      <c r="B11" t="s">
        <v>19</v>
      </c>
      <c r="C11" s="8">
        <v>4552</v>
      </c>
      <c r="D11" s="8">
        <v>4552</v>
      </c>
      <c r="E11" s="9">
        <v>0.23</v>
      </c>
      <c r="G11" s="3"/>
      <c r="H11" s="3"/>
      <c r="I11" s="3"/>
      <c r="J11" s="3"/>
      <c r="K11" s="3"/>
      <c r="L11" s="11" t="s">
        <v>20</v>
      </c>
      <c r="M11" s="14">
        <f>'Tourist spending'!C12+'Tourist spending'!C13</f>
        <v>0.27309510726564018</v>
      </c>
      <c r="N11" t="s">
        <v>21</v>
      </c>
    </row>
    <row r="12" spans="1:15">
      <c r="A12" s="7">
        <v>9</v>
      </c>
      <c r="B12" t="s">
        <v>22</v>
      </c>
      <c r="C12" s="8">
        <v>4913</v>
      </c>
      <c r="D12" s="8">
        <v>4913</v>
      </c>
      <c r="E12" s="9">
        <v>0.23</v>
      </c>
      <c r="G12" s="3"/>
      <c r="H12" s="3"/>
      <c r="I12" s="3"/>
      <c r="J12" s="3"/>
      <c r="K12" s="3"/>
      <c r="L12" s="11"/>
      <c r="M12" s="15"/>
    </row>
    <row r="13" spans="1:15">
      <c r="A13" s="7">
        <v>10</v>
      </c>
      <c r="B13" t="s">
        <v>23</v>
      </c>
      <c r="C13" s="8">
        <v>3878</v>
      </c>
      <c r="D13" s="8">
        <v>3878</v>
      </c>
      <c r="E13" s="9">
        <v>6.5000000000000002E-2</v>
      </c>
      <c r="G13" s="3"/>
      <c r="H13" s="3"/>
      <c r="I13" s="3"/>
      <c r="J13" s="3"/>
      <c r="K13" s="3"/>
      <c r="L13" s="11" t="s">
        <v>24</v>
      </c>
      <c r="M13" s="16">
        <v>0.81400199848136201</v>
      </c>
      <c r="N13" t="s">
        <v>25</v>
      </c>
    </row>
    <row r="14" spans="1:15">
      <c r="A14" s="7">
        <v>11</v>
      </c>
      <c r="B14" t="s">
        <v>26</v>
      </c>
      <c r="C14" s="8">
        <v>14331</v>
      </c>
      <c r="D14" s="8">
        <v>14331</v>
      </c>
      <c r="E14" s="9">
        <v>0.13</v>
      </c>
    </row>
    <row r="15" spans="1:15">
      <c r="A15" s="7">
        <v>12</v>
      </c>
      <c r="B15" t="s">
        <v>27</v>
      </c>
      <c r="C15" s="8">
        <v>4478</v>
      </c>
      <c r="D15" s="8">
        <v>4478</v>
      </c>
      <c r="E15" s="9">
        <v>0.23</v>
      </c>
      <c r="O15" s="17"/>
    </row>
    <row r="16" spans="1:15">
      <c r="A16" s="7">
        <v>13</v>
      </c>
      <c r="B16" t="s">
        <v>28</v>
      </c>
      <c r="C16" s="8">
        <v>9850</v>
      </c>
      <c r="D16" s="8">
        <v>9850</v>
      </c>
      <c r="E16" s="9">
        <v>0.13</v>
      </c>
    </row>
    <row r="17" spans="1:15">
      <c r="A17" s="7">
        <v>14</v>
      </c>
      <c r="B17" t="s">
        <v>29</v>
      </c>
      <c r="C17" s="8">
        <v>27658</v>
      </c>
      <c r="D17" s="8">
        <v>27658</v>
      </c>
      <c r="E17" s="9">
        <v>0.23</v>
      </c>
      <c r="G17" s="18" t="s">
        <v>30</v>
      </c>
      <c r="H17" s="19"/>
      <c r="I17" s="19"/>
      <c r="J17" s="19"/>
      <c r="K17" s="91" t="s">
        <v>31</v>
      </c>
      <c r="L17" s="91"/>
      <c r="M17" s="20"/>
      <c r="N17" s="21"/>
    </row>
    <row r="18" spans="1:15" ht="28">
      <c r="A18" s="7">
        <v>15</v>
      </c>
      <c r="B18" t="s">
        <v>32</v>
      </c>
      <c r="C18" s="8">
        <v>33905</v>
      </c>
      <c r="D18" s="8">
        <v>33905</v>
      </c>
      <c r="E18" s="9">
        <v>0</v>
      </c>
      <c r="G18" s="22" t="s">
        <v>33</v>
      </c>
      <c r="H18" s="23"/>
      <c r="I18" s="23"/>
      <c r="J18" s="23"/>
      <c r="K18" s="24" t="s">
        <v>34</v>
      </c>
      <c r="L18" s="24" t="s">
        <v>35</v>
      </c>
      <c r="M18" s="25" t="s">
        <v>36</v>
      </c>
      <c r="N18" s="26"/>
    </row>
    <row r="19" spans="1:15">
      <c r="B19" t="s">
        <v>37</v>
      </c>
      <c r="C19" s="8">
        <f>SUM(C4:C18)</f>
        <v>132853</v>
      </c>
      <c r="D19" s="8">
        <f>C19</f>
        <v>132853</v>
      </c>
      <c r="E19" s="9"/>
      <c r="G19" s="22"/>
      <c r="H19" s="23"/>
      <c r="I19" s="27" t="s">
        <v>38</v>
      </c>
      <c r="J19" s="23"/>
      <c r="K19" s="8">
        <f>Model!H136</f>
        <v>0</v>
      </c>
      <c r="L19" s="8">
        <f>Model!P136</f>
        <v>0</v>
      </c>
      <c r="M19" s="28">
        <f t="shared" ref="M19:M26" si="0">L19-K19</f>
        <v>0</v>
      </c>
      <c r="N19" s="21"/>
    </row>
    <row r="20" spans="1:15">
      <c r="C20" s="8"/>
      <c r="D20" s="8"/>
      <c r="E20" s="9"/>
      <c r="G20" s="22"/>
      <c r="H20" s="23"/>
      <c r="I20" s="29">
        <v>0.05</v>
      </c>
      <c r="J20" s="23"/>
      <c r="K20" s="8">
        <f>Model!H105+Model!H106+Model!H107+Model!H112</f>
        <v>45.290749104404497</v>
      </c>
      <c r="L20" s="8">
        <f>Model!P105+Model!P106+Model!P107+Model!P112</f>
        <v>101.34023337244543</v>
      </c>
      <c r="M20" s="28">
        <f t="shared" si="0"/>
        <v>56.049484268040928</v>
      </c>
      <c r="N20" s="21"/>
    </row>
    <row r="21" spans="1:15">
      <c r="A21" s="1" t="s">
        <v>39</v>
      </c>
      <c r="C21" s="8"/>
      <c r="D21" s="8"/>
      <c r="E21" s="9"/>
      <c r="G21" s="22"/>
      <c r="H21" s="23"/>
      <c r="I21" s="29">
        <v>6.5000000000000002E-2</v>
      </c>
      <c r="J21" s="23"/>
      <c r="K21" s="8">
        <f>Model!H86+Model!H87+Model!H88+Model!H93</f>
        <v>431.84286351020023</v>
      </c>
      <c r="L21" s="8">
        <f>Model!P86+Model!P87+Model!P88+Model!P93</f>
        <v>646.37845560592109</v>
      </c>
      <c r="M21" s="28">
        <f t="shared" si="0"/>
        <v>214.53559209572086</v>
      </c>
      <c r="N21" s="21"/>
    </row>
    <row r="22" spans="1:15">
      <c r="A22" s="1" t="s">
        <v>40</v>
      </c>
      <c r="C22" s="8"/>
      <c r="D22" s="8"/>
      <c r="E22" s="9"/>
      <c r="G22" s="22"/>
      <c r="H22" s="23"/>
      <c r="I22" s="29">
        <v>0.09</v>
      </c>
      <c r="J22" s="23"/>
      <c r="K22" s="8">
        <f>Model!H103+Model!H104+Model!H108+Model!H113+Model!H115</f>
        <v>281.1809321538031</v>
      </c>
      <c r="L22" s="8">
        <f>Model!P103+Model!P104+Model!P108+Model!P113+Model!P115</f>
        <v>403.8645212280768</v>
      </c>
      <c r="M22" s="28">
        <f t="shared" si="0"/>
        <v>122.6835890742737</v>
      </c>
      <c r="N22" s="21"/>
    </row>
    <row r="23" spans="1:15">
      <c r="A23" s="1" t="s">
        <v>41</v>
      </c>
      <c r="G23" s="22"/>
      <c r="H23" s="23"/>
      <c r="I23" s="29">
        <v>0.13</v>
      </c>
      <c r="J23" s="23"/>
      <c r="K23" s="8">
        <f>Model!H84+Model!H85+Model!H89+Model!H94+Model!H96</f>
        <v>4766.3357614939832</v>
      </c>
      <c r="L23" s="8">
        <f>Model!P84+Model!P85+Model!P89+Model!P94+Model!P96</f>
        <v>4962.4526131362145</v>
      </c>
      <c r="M23" s="28">
        <f t="shared" si="0"/>
        <v>196.11685164223127</v>
      </c>
      <c r="N23" s="21"/>
      <c r="O23" s="1"/>
    </row>
    <row r="24" spans="1:15">
      <c r="B24" t="s">
        <v>42</v>
      </c>
      <c r="C24" s="8">
        <v>12152</v>
      </c>
      <c r="D24" s="8">
        <f>C24</f>
        <v>12152</v>
      </c>
      <c r="G24" s="22"/>
      <c r="H24" s="23"/>
      <c r="I24" s="29">
        <v>0.16</v>
      </c>
      <c r="J24" s="23"/>
      <c r="K24" s="8">
        <f>Model!H109+Model!H110+Model!H111+Model!H114+Model!H116</f>
        <v>359.25585513687611</v>
      </c>
      <c r="L24" s="8">
        <f>Model!P109+Model!P110+Model!P111+Model!P114+Model!P116</f>
        <v>468.07718791949071</v>
      </c>
      <c r="M24" s="28">
        <f t="shared" si="0"/>
        <v>108.8213327826146</v>
      </c>
      <c r="N24" s="21"/>
    </row>
    <row r="25" spans="1:15">
      <c r="A25">
        <v>16</v>
      </c>
      <c r="B25" t="s">
        <v>23</v>
      </c>
      <c r="C25" s="9">
        <v>0.24199999999999999</v>
      </c>
      <c r="D25" s="30">
        <f>C25/SUM($C$25:$C$29)*$D$24</f>
        <v>3395.8244803695152</v>
      </c>
      <c r="G25" s="22"/>
      <c r="H25" s="23"/>
      <c r="I25" s="29">
        <v>0.23</v>
      </c>
      <c r="J25" s="23"/>
      <c r="K25" s="8">
        <f>Model!H90+Model!H91+Model!H92+Model!H95+Model!H97</f>
        <v>6531.0938386007274</v>
      </c>
      <c r="L25" s="8">
        <f>Model!P90+Model!P91+Model!P92+Model!P95+Model!P97</f>
        <v>6792.337592144755</v>
      </c>
      <c r="M25" s="28">
        <f t="shared" si="0"/>
        <v>261.24375354402764</v>
      </c>
    </row>
    <row r="26" spans="1:15">
      <c r="A26">
        <v>17</v>
      </c>
      <c r="B26" t="s">
        <v>26</v>
      </c>
      <c r="C26" s="9">
        <v>0.221</v>
      </c>
      <c r="D26" s="30">
        <f>C26/SUM($C$25:$C$29)*$D$24</f>
        <v>3101.1454965357971</v>
      </c>
      <c r="G26" s="22"/>
      <c r="H26" s="23"/>
      <c r="I26" s="31" t="s">
        <v>37</v>
      </c>
      <c r="J26" s="32"/>
      <c r="K26" s="33">
        <f>SUM(K19:K25)</f>
        <v>12414.999999999995</v>
      </c>
      <c r="L26" s="33">
        <f>SUM(L19:L25)</f>
        <v>13374.450603406904</v>
      </c>
      <c r="M26" s="34">
        <f t="shared" si="0"/>
        <v>959.45060340690907</v>
      </c>
      <c r="N26" s="21">
        <f>L26/K26-1</f>
        <v>7.7281562900274547E-2</v>
      </c>
      <c r="O26" s="30"/>
    </row>
    <row r="27" spans="1:15">
      <c r="A27">
        <v>18</v>
      </c>
      <c r="B27" t="s">
        <v>43</v>
      </c>
      <c r="C27" s="9">
        <v>0.11700000000000001</v>
      </c>
      <c r="D27" s="30">
        <f>C27/SUM($C$25:$C$29)*$D$24</f>
        <v>1641.782909930716</v>
      </c>
      <c r="G27" s="22"/>
      <c r="H27" s="23"/>
      <c r="I27" s="35" t="s">
        <v>44</v>
      </c>
      <c r="J27" s="23"/>
      <c r="K27" s="36">
        <f>Model!D137</f>
        <v>0.15912459650760902</v>
      </c>
      <c r="L27" s="36">
        <f>Model!J137</f>
        <v>0.16790424657542929</v>
      </c>
      <c r="M27" s="37"/>
    </row>
    <row r="28" spans="1:15">
      <c r="A28">
        <v>19</v>
      </c>
      <c r="B28" t="s">
        <v>45</v>
      </c>
      <c r="C28" s="9">
        <v>0.23400000000000001</v>
      </c>
      <c r="D28" s="30">
        <f>C28/SUM($C$25:$C$29)*$D$24</f>
        <v>3283.5658198614319</v>
      </c>
      <c r="G28" s="22"/>
      <c r="H28" s="23"/>
      <c r="I28" s="35" t="s">
        <v>46</v>
      </c>
      <c r="J28" s="23"/>
      <c r="K28" s="36">
        <f>Model!E137</f>
        <v>0.8140019984813619</v>
      </c>
      <c r="L28" s="36">
        <f>Model!L137</f>
        <v>0.84656207842061637</v>
      </c>
      <c r="M28" s="37"/>
    </row>
    <row r="29" spans="1:15">
      <c r="A29">
        <v>20</v>
      </c>
      <c r="B29" t="s">
        <v>47</v>
      </c>
      <c r="C29" s="9">
        <v>5.1999999999999998E-2</v>
      </c>
      <c r="D29" s="30">
        <f>C29/SUM($C$25:$C$29)*$D$24</f>
        <v>729.68129330254044</v>
      </c>
      <c r="G29" s="38"/>
      <c r="H29" s="39"/>
      <c r="I29" s="40" t="s">
        <v>48</v>
      </c>
      <c r="J29" s="39"/>
      <c r="K29" s="41">
        <f>Model!H137/Model!F137</f>
        <v>9.5681651841663801E-2</v>
      </c>
      <c r="L29" s="41">
        <f>Model!P137/Model!N137</f>
        <v>0.10448985610430009</v>
      </c>
      <c r="M29" s="42"/>
    </row>
    <row r="30" spans="1:15">
      <c r="B30" t="s">
        <v>49</v>
      </c>
      <c r="C30" s="9">
        <v>0.13300000000000001</v>
      </c>
      <c r="D30" s="30"/>
    </row>
    <row r="32" spans="1:15">
      <c r="A32" s="1" t="s">
        <v>50</v>
      </c>
      <c r="M32" s="43"/>
    </row>
    <row r="33" spans="1:13">
      <c r="B33" t="s">
        <v>51</v>
      </c>
      <c r="D33" s="30">
        <f>Model!F55-Model!F54</f>
        <v>85040.195248819131</v>
      </c>
      <c r="M33" s="43"/>
    </row>
    <row r="34" spans="1:13">
      <c r="B34" t="s">
        <v>52</v>
      </c>
      <c r="D34" s="30">
        <f>Model!F80</f>
        <v>10807.999444606718</v>
      </c>
    </row>
    <row r="35" spans="1:13">
      <c r="B35" t="s">
        <v>53</v>
      </c>
      <c r="D35" s="30"/>
      <c r="E35" s="30">
        <f>5280/1.065</f>
        <v>4957.7464788732395</v>
      </c>
    </row>
    <row r="36" spans="1:13">
      <c r="B36" s="1" t="s">
        <v>54</v>
      </c>
      <c r="C36" s="1"/>
      <c r="D36" s="44">
        <f>SUM(D33:D35)</f>
        <v>95848.194693425845</v>
      </c>
    </row>
    <row r="38" spans="1:13">
      <c r="A38" s="1" t="s">
        <v>55</v>
      </c>
      <c r="D38" s="33">
        <v>73517</v>
      </c>
      <c r="E38" s="21">
        <f>D38/D36</f>
        <v>0.76701496814986414</v>
      </c>
    </row>
    <row r="39" spans="1:13">
      <c r="A39" s="1" t="s">
        <v>56</v>
      </c>
      <c r="C39" s="45"/>
      <c r="D39" s="33">
        <v>12415</v>
      </c>
      <c r="E39" s="46"/>
    </row>
  </sheetData>
  <mergeCells count="1">
    <mergeCell ref="K17:L17"/>
  </mergeCells>
  <pageMargins left="0.7" right="0.7" top="0.75" bottom="0.75" header="0.51180555555555496" footer="0.51180555555555496"/>
  <pageSetup paperSize="0" scale="0" firstPageNumber="0" orientation="portrait" usePrinterDefaults="0" horizontalDpi="0" verticalDpi="0" copies="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tabSelected="1" topLeftCell="A7" zoomScale="80" zoomScaleNormal="80" zoomScalePageLayoutView="80" workbookViewId="0">
      <selection activeCell="P34" sqref="P34"/>
    </sheetView>
  </sheetViews>
  <sheetFormatPr baseColWidth="10" defaultColWidth="8.83203125" defaultRowHeight="14" x14ac:dyDescent="0"/>
  <sheetData>
    <row r="1" spans="1:12">
      <c r="B1" s="92" t="s">
        <v>57</v>
      </c>
      <c r="C1" s="92"/>
      <c r="E1" s="92" t="s">
        <v>58</v>
      </c>
      <c r="F1" s="92"/>
      <c r="H1" s="92" t="s">
        <v>59</v>
      </c>
      <c r="I1" s="92"/>
      <c r="J1" s="92"/>
      <c r="K1" s="92"/>
      <c r="L1" s="92"/>
    </row>
    <row r="2" spans="1:12" ht="42">
      <c r="B2" s="47" t="s">
        <v>60</v>
      </c>
      <c r="C2" s="47" t="s">
        <v>61</v>
      </c>
      <c r="E2" s="47" t="s">
        <v>62</v>
      </c>
      <c r="F2" s="47" t="s">
        <v>63</v>
      </c>
      <c r="H2" s="17" t="s">
        <v>64</v>
      </c>
      <c r="I2" s="17" t="s">
        <v>65</v>
      </c>
      <c r="J2" s="17" t="s">
        <v>66</v>
      </c>
      <c r="K2" s="17" t="s">
        <v>67</v>
      </c>
      <c r="L2" s="17" t="s">
        <v>68</v>
      </c>
    </row>
    <row r="3" spans="1:12">
      <c r="A3" t="str">
        <f>'Data &amp; Assumptions'!B4</f>
        <v>Bread &amp; milk</v>
      </c>
      <c r="B3" s="46">
        <f>'Data &amp; Assumptions'!E4</f>
        <v>0.13</v>
      </c>
      <c r="C3" s="48">
        <f>low</f>
        <v>0.11</v>
      </c>
      <c r="E3" s="49">
        <f>L3</f>
        <v>0.57199999999999995</v>
      </c>
      <c r="F3" s="48">
        <f t="shared" ref="F3:F17" si="0">compliance</f>
        <v>0.81400199848136201</v>
      </c>
      <c r="H3" s="49">
        <v>0.57199999999999995</v>
      </c>
      <c r="I3">
        <v>1</v>
      </c>
      <c r="J3">
        <v>0</v>
      </c>
      <c r="K3" s="50">
        <f>H3*0.7</f>
        <v>0.40039999999999992</v>
      </c>
      <c r="L3">
        <v>0.57199999999999995</v>
      </c>
    </row>
    <row r="4" spans="1:12">
      <c r="A4" t="str">
        <f>'Data &amp; Assumptions'!B5</f>
        <v>Other food</v>
      </c>
      <c r="B4" s="46">
        <f>'Data &amp; Assumptions'!E5</f>
        <v>0.13</v>
      </c>
      <c r="C4" s="48">
        <f>low</f>
        <v>0.11</v>
      </c>
      <c r="E4" s="49">
        <f>L4</f>
        <v>0.57199999999999995</v>
      </c>
      <c r="F4" s="48">
        <f t="shared" si="0"/>
        <v>0.81400199848136201</v>
      </c>
      <c r="H4" s="49">
        <v>0.57199999999999995</v>
      </c>
      <c r="I4">
        <v>1</v>
      </c>
      <c r="J4">
        <v>0</v>
      </c>
      <c r="K4" s="50">
        <f>K3</f>
        <v>0.40039999999999992</v>
      </c>
      <c r="L4">
        <v>0.57199999999999995</v>
      </c>
    </row>
    <row r="5" spans="1:12">
      <c r="A5" t="str">
        <f>'Data &amp; Assumptions'!B6</f>
        <v>Books</v>
      </c>
      <c r="B5" s="46">
        <f>'Data &amp; Assumptions'!E6</f>
        <v>6.5000000000000002E-2</v>
      </c>
      <c r="C5" s="48">
        <f>vlow</f>
        <v>0.06</v>
      </c>
      <c r="E5" s="49">
        <f>L5</f>
        <v>1.3340000000000001</v>
      </c>
      <c r="F5" s="48">
        <f t="shared" si="0"/>
        <v>0.81400199848136201</v>
      </c>
      <c r="H5" s="49">
        <v>1.3340000000000001</v>
      </c>
      <c r="I5">
        <v>1</v>
      </c>
      <c r="J5">
        <v>0</v>
      </c>
      <c r="K5" s="50">
        <f>H5</f>
        <v>1.3340000000000001</v>
      </c>
      <c r="L5">
        <v>1.3340000000000001</v>
      </c>
    </row>
    <row r="6" spans="1:12">
      <c r="A6" t="str">
        <f>'Data &amp; Assumptions'!B7</f>
        <v>Newspapers &amp; periodicals</v>
      </c>
      <c r="B6" s="46">
        <v>6.5000000000000002E-2</v>
      </c>
      <c r="C6" s="48">
        <f>low</f>
        <v>0.11</v>
      </c>
      <c r="E6" s="49">
        <f>E5</f>
        <v>1.3340000000000001</v>
      </c>
      <c r="F6" s="48">
        <f t="shared" si="0"/>
        <v>0.81400199848136201</v>
      </c>
      <c r="H6" s="49">
        <v>1.3340000000000001</v>
      </c>
      <c r="I6">
        <v>1</v>
      </c>
      <c r="J6">
        <v>0</v>
      </c>
      <c r="K6" s="50">
        <f>K5</f>
        <v>1.3340000000000001</v>
      </c>
      <c r="L6">
        <f>K6</f>
        <v>1.3340000000000001</v>
      </c>
    </row>
    <row r="7" spans="1:12">
      <c r="A7" t="str">
        <f>'Data &amp; Assumptions'!B8</f>
        <v>Pharmaceuticals</v>
      </c>
      <c r="B7" s="46">
        <f>'Data &amp; Assumptions'!E8</f>
        <v>6.5000000000000002E-2</v>
      </c>
      <c r="C7" s="48">
        <f>vlow</f>
        <v>0.06</v>
      </c>
      <c r="E7" s="49">
        <f t="shared" ref="E7:E17" si="1">L7</f>
        <v>0.72499999999999998</v>
      </c>
      <c r="F7" s="48">
        <f t="shared" si="0"/>
        <v>0.81400199848136201</v>
      </c>
      <c r="H7" s="49">
        <v>0.72499999999999998</v>
      </c>
      <c r="I7">
        <v>1</v>
      </c>
      <c r="J7">
        <v>0</v>
      </c>
      <c r="K7" s="50">
        <f t="shared" ref="K7:K15" si="2">H7</f>
        <v>0.72499999999999998</v>
      </c>
      <c r="L7">
        <v>0.72499999999999998</v>
      </c>
    </row>
    <row r="8" spans="1:12">
      <c r="A8" t="str">
        <f>'Data &amp; Assumptions'!B9</f>
        <v>Water, electricity &amp; gas</v>
      </c>
      <c r="B8" s="46">
        <f>'Data &amp; Assumptions'!E9</f>
        <v>0.13</v>
      </c>
      <c r="C8" s="48">
        <f>low</f>
        <v>0.11</v>
      </c>
      <c r="E8" s="49">
        <f t="shared" si="1"/>
        <v>0.26</v>
      </c>
      <c r="F8" s="48">
        <f t="shared" si="0"/>
        <v>0.81400199848136201</v>
      </c>
      <c r="H8" s="49">
        <v>0.26</v>
      </c>
      <c r="I8">
        <v>1</v>
      </c>
      <c r="J8">
        <v>0</v>
      </c>
      <c r="K8" s="50">
        <f t="shared" si="2"/>
        <v>0.26</v>
      </c>
      <c r="L8">
        <v>0.26</v>
      </c>
    </row>
    <row r="9" spans="1:12">
      <c r="A9" t="str">
        <f>'Data &amp; Assumptions'!B10</f>
        <v>Alcohol</v>
      </c>
      <c r="B9" s="46">
        <f>'Data &amp; Assumptions'!E10</f>
        <v>0.23</v>
      </c>
      <c r="C9" s="48">
        <f>standard</f>
        <v>0.23</v>
      </c>
      <c r="E9" s="49">
        <f t="shared" si="1"/>
        <v>0.93899999999999995</v>
      </c>
      <c r="F9" s="48">
        <f t="shared" si="0"/>
        <v>0.81400199848136201</v>
      </c>
      <c r="H9" s="49">
        <v>0.93899999999999995</v>
      </c>
      <c r="I9">
        <v>1</v>
      </c>
      <c r="J9">
        <v>0</v>
      </c>
      <c r="K9" s="50">
        <f t="shared" si="2"/>
        <v>0.93899999999999995</v>
      </c>
      <c r="L9">
        <v>0.93899999999999995</v>
      </c>
    </row>
    <row r="10" spans="1:12">
      <c r="A10" t="str">
        <f>'Data &amp; Assumptions'!B11</f>
        <v>Clothing and footwear</v>
      </c>
      <c r="B10" s="46">
        <f>'Data &amp; Assumptions'!E11</f>
        <v>0.23</v>
      </c>
      <c r="C10" s="48">
        <f>standard</f>
        <v>0.23</v>
      </c>
      <c r="E10" s="49">
        <f t="shared" si="1"/>
        <v>1.17</v>
      </c>
      <c r="F10" s="48">
        <f t="shared" si="0"/>
        <v>0.81400199848136201</v>
      </c>
      <c r="H10" s="49">
        <v>1.17</v>
      </c>
      <c r="I10">
        <v>1</v>
      </c>
      <c r="J10">
        <v>0</v>
      </c>
      <c r="K10" s="50">
        <f t="shared" si="2"/>
        <v>1.17</v>
      </c>
      <c r="L10">
        <v>1.17</v>
      </c>
    </row>
    <row r="11" spans="1:12">
      <c r="A11" t="str">
        <f>'Data &amp; Assumptions'!B12</f>
        <v>Fuel</v>
      </c>
      <c r="B11" s="46">
        <f>'Data &amp; Assumptions'!E12</f>
        <v>0.23</v>
      </c>
      <c r="C11" s="48">
        <f>standard</f>
        <v>0.23</v>
      </c>
      <c r="E11" s="49">
        <f t="shared" si="1"/>
        <v>0.26</v>
      </c>
      <c r="F11" s="48">
        <f t="shared" si="0"/>
        <v>0.81400199848136201</v>
      </c>
      <c r="H11" s="49">
        <v>0.26</v>
      </c>
      <c r="I11">
        <v>1</v>
      </c>
      <c r="J11">
        <v>0</v>
      </c>
      <c r="K11" s="50">
        <f t="shared" si="2"/>
        <v>0.26</v>
      </c>
      <c r="L11">
        <v>0.26</v>
      </c>
    </row>
    <row r="12" spans="1:12">
      <c r="A12" t="str">
        <f>'Data &amp; Assumptions'!B13</f>
        <v>Hotels</v>
      </c>
      <c r="B12" s="46">
        <f>'Data &amp; Assumptions'!E13</f>
        <v>6.5000000000000002E-2</v>
      </c>
      <c r="C12" s="48">
        <f>low</f>
        <v>0.11</v>
      </c>
      <c r="E12" s="49">
        <f t="shared" si="1"/>
        <v>0.23699999999999999</v>
      </c>
      <c r="F12" s="48">
        <f t="shared" si="0"/>
        <v>0.81400199848136201</v>
      </c>
      <c r="H12" s="49">
        <v>0.23699999999999999</v>
      </c>
      <c r="I12">
        <v>1</v>
      </c>
      <c r="J12">
        <v>0</v>
      </c>
      <c r="K12" s="50">
        <f t="shared" si="2"/>
        <v>0.23699999999999999</v>
      </c>
      <c r="L12">
        <v>0.23699999999999999</v>
      </c>
    </row>
    <row r="13" spans="1:12">
      <c r="A13" t="str">
        <f>'Data &amp; Assumptions'!B14</f>
        <v>Restaurants</v>
      </c>
      <c r="B13" s="46">
        <f>'Data &amp; Assumptions'!E14</f>
        <v>0.13</v>
      </c>
      <c r="C13" s="48">
        <f>low</f>
        <v>0.11</v>
      </c>
      <c r="E13" s="49">
        <f t="shared" si="1"/>
        <v>0.23699999999999999</v>
      </c>
      <c r="F13" s="48">
        <f t="shared" si="0"/>
        <v>0.81400199848136201</v>
      </c>
      <c r="H13" s="49">
        <v>0.23699999999999999</v>
      </c>
      <c r="I13">
        <v>1</v>
      </c>
      <c r="J13">
        <v>0</v>
      </c>
      <c r="K13" s="50">
        <f t="shared" si="2"/>
        <v>0.23699999999999999</v>
      </c>
      <c r="L13">
        <v>0.23699999999999999</v>
      </c>
    </row>
    <row r="14" spans="1:12">
      <c r="A14" t="str">
        <f>'Data &amp; Assumptions'!B15</f>
        <v>Tobacco</v>
      </c>
      <c r="B14" s="46">
        <f>'Data &amp; Assumptions'!E15</f>
        <v>0.23</v>
      </c>
      <c r="C14" s="48">
        <f>standard</f>
        <v>0.23</v>
      </c>
      <c r="E14" s="49">
        <f t="shared" si="1"/>
        <v>1.516</v>
      </c>
      <c r="F14" s="48">
        <f t="shared" si="0"/>
        <v>0.81400199848136201</v>
      </c>
      <c r="H14" s="49">
        <v>1.516</v>
      </c>
      <c r="I14">
        <v>1</v>
      </c>
      <c r="J14">
        <v>0</v>
      </c>
      <c r="K14" s="50">
        <f t="shared" si="2"/>
        <v>1.516</v>
      </c>
      <c r="L14">
        <v>1.516</v>
      </c>
    </row>
    <row r="15" spans="1:12">
      <c r="A15" t="str">
        <f>'Data &amp; Assumptions'!B16</f>
        <v>Rest of 13% products &amp; services</v>
      </c>
      <c r="B15" s="46">
        <f>'Data &amp; Assumptions'!E16</f>
        <v>0.13</v>
      </c>
      <c r="C15" s="48">
        <f>standard</f>
        <v>0.23</v>
      </c>
      <c r="E15" s="49">
        <f t="shared" si="1"/>
        <v>0.9</v>
      </c>
      <c r="F15" s="48">
        <f t="shared" si="0"/>
        <v>0.81400199848136201</v>
      </c>
      <c r="H15" s="49">
        <v>0.9</v>
      </c>
      <c r="I15">
        <v>1</v>
      </c>
      <c r="J15">
        <v>0</v>
      </c>
      <c r="K15" s="50">
        <f t="shared" si="2"/>
        <v>0.9</v>
      </c>
      <c r="L15">
        <v>0.9</v>
      </c>
    </row>
    <row r="16" spans="1:12">
      <c r="A16" t="str">
        <f>'Data &amp; Assumptions'!B17</f>
        <v>Rest of 23% products &amp; services</v>
      </c>
      <c r="B16" s="46">
        <f>'Data &amp; Assumptions'!E17</f>
        <v>0.23</v>
      </c>
      <c r="C16" s="48">
        <f>standard</f>
        <v>0.23</v>
      </c>
      <c r="E16" s="49">
        <f t="shared" si="1"/>
        <v>1.5</v>
      </c>
      <c r="F16" s="48">
        <f t="shared" si="0"/>
        <v>0.81400199848136201</v>
      </c>
      <c r="H16" s="49">
        <v>1.5</v>
      </c>
      <c r="I16">
        <v>1</v>
      </c>
      <c r="J16">
        <v>0</v>
      </c>
      <c r="K16" s="50">
        <f>H16*0.7</f>
        <v>1.0499999999999998</v>
      </c>
      <c r="L16">
        <v>1.5</v>
      </c>
    </row>
    <row r="17" spans="1:12">
      <c r="A17" t="str">
        <f>'Data &amp; Assumptions'!B18</f>
        <v>Products &amp; services where VAT not applied</v>
      </c>
      <c r="B17" s="46">
        <f>'Data &amp; Assumptions'!E18</f>
        <v>0</v>
      </c>
      <c r="C17" s="48">
        <f>0</f>
        <v>0</v>
      </c>
      <c r="E17" s="49">
        <f t="shared" si="1"/>
        <v>1</v>
      </c>
      <c r="F17" s="48">
        <f t="shared" si="0"/>
        <v>0.81400199848136201</v>
      </c>
      <c r="H17" s="49">
        <v>1</v>
      </c>
      <c r="I17">
        <v>1</v>
      </c>
      <c r="J17">
        <v>0</v>
      </c>
      <c r="K17" s="50">
        <v>1</v>
      </c>
      <c r="L17">
        <v>1</v>
      </c>
    </row>
    <row r="21" spans="1:12">
      <c r="A21" s="18" t="s">
        <v>30</v>
      </c>
      <c r="B21" s="91" t="s">
        <v>31</v>
      </c>
      <c r="C21" s="91"/>
      <c r="D21" s="20"/>
    </row>
    <row r="22" spans="1:12">
      <c r="A22" s="22" t="s">
        <v>33</v>
      </c>
      <c r="B22" s="24" t="s">
        <v>69</v>
      </c>
      <c r="C22" s="24" t="s">
        <v>35</v>
      </c>
      <c r="D22" s="25" t="s">
        <v>36</v>
      </c>
      <c r="G22" s="21"/>
    </row>
    <row r="23" spans="1:12">
      <c r="A23" s="51" t="s">
        <v>38</v>
      </c>
      <c r="B23" s="8">
        <f>'Data &amp; Assumptions'!K19</f>
        <v>0</v>
      </c>
      <c r="C23" s="8">
        <f>'Data &amp; Assumptions'!L19</f>
        <v>0</v>
      </c>
      <c r="D23" s="52">
        <f>'Data &amp; Assumptions'!M19</f>
        <v>0</v>
      </c>
      <c r="G23" s="21"/>
    </row>
    <row r="24" spans="1:12">
      <c r="A24" s="53">
        <v>0.05</v>
      </c>
      <c r="B24" s="8">
        <f>'Data &amp; Assumptions'!K20</f>
        <v>45.290749104404497</v>
      </c>
      <c r="C24" s="8">
        <f>'Data &amp; Assumptions'!L20</f>
        <v>101.34023337244543</v>
      </c>
      <c r="D24" s="52">
        <f>'Data &amp; Assumptions'!M20</f>
        <v>56.049484268040928</v>
      </c>
      <c r="G24" s="21"/>
    </row>
    <row r="25" spans="1:12">
      <c r="A25" s="53">
        <v>6.5000000000000002E-2</v>
      </c>
      <c r="B25" s="8">
        <f>'Data &amp; Assumptions'!K21</f>
        <v>431.84286351020023</v>
      </c>
      <c r="C25" s="8">
        <f>'Data &amp; Assumptions'!L21</f>
        <v>646.37845560592109</v>
      </c>
      <c r="D25" s="52">
        <f>'Data &amp; Assumptions'!M21</f>
        <v>214.53559209572086</v>
      </c>
      <c r="G25" s="21"/>
    </row>
    <row r="26" spans="1:12">
      <c r="A26" s="53">
        <v>0.09</v>
      </c>
      <c r="B26" s="8">
        <f>'Data &amp; Assumptions'!K22</f>
        <v>281.1809321538031</v>
      </c>
      <c r="C26" s="8">
        <f>'Data &amp; Assumptions'!L22</f>
        <v>403.8645212280768</v>
      </c>
      <c r="D26" s="52">
        <f>'Data &amp; Assumptions'!M22</f>
        <v>122.6835890742737</v>
      </c>
      <c r="G26" s="21"/>
    </row>
    <row r="27" spans="1:12">
      <c r="A27" s="53">
        <v>0.13</v>
      </c>
      <c r="B27" s="8">
        <f>'Data &amp; Assumptions'!K23</f>
        <v>4766.3357614939832</v>
      </c>
      <c r="C27" s="8">
        <f>'Data &amp; Assumptions'!L23</f>
        <v>4962.4526131362145</v>
      </c>
      <c r="D27" s="52">
        <f>'Data &amp; Assumptions'!M23</f>
        <v>196.11685164223127</v>
      </c>
      <c r="G27" s="21"/>
    </row>
    <row r="28" spans="1:12">
      <c r="A28" s="53">
        <v>0.16</v>
      </c>
      <c r="B28" s="8">
        <f>'Data &amp; Assumptions'!K24</f>
        <v>359.25585513687611</v>
      </c>
      <c r="C28" s="8">
        <f>'Data &amp; Assumptions'!L24</f>
        <v>468.07718791949071</v>
      </c>
      <c r="D28" s="52">
        <f>'Data &amp; Assumptions'!M24</f>
        <v>108.8213327826146</v>
      </c>
      <c r="G28" s="21"/>
    </row>
    <row r="29" spans="1:12">
      <c r="A29" s="53">
        <v>0.23</v>
      </c>
      <c r="B29" s="8">
        <f>'Data &amp; Assumptions'!K25</f>
        <v>6531.0938386007274</v>
      </c>
      <c r="C29" s="8">
        <f>'Data &amp; Assumptions'!L25</f>
        <v>6792.337592144755</v>
      </c>
      <c r="D29" s="52">
        <f>'Data &amp; Assumptions'!M25</f>
        <v>261.24375354402764</v>
      </c>
      <c r="G29" s="21"/>
    </row>
    <row r="30" spans="1:12">
      <c r="A30" s="54" t="s">
        <v>37</v>
      </c>
      <c r="B30" s="8">
        <f>'Data &amp; Assumptions'!K26</f>
        <v>12414.999999999995</v>
      </c>
      <c r="C30" s="8">
        <f>'Data &amp; Assumptions'!L26</f>
        <v>13374.450603406904</v>
      </c>
      <c r="D30" s="52">
        <f>'Data &amp; Assumptions'!M26</f>
        <v>959.45060340690907</v>
      </c>
      <c r="E30" s="21">
        <f>C30/B30-1</f>
        <v>7.7281562900274547E-2</v>
      </c>
    </row>
    <row r="31" spans="1:12">
      <c r="A31" s="55" t="s">
        <v>44</v>
      </c>
      <c r="B31" s="46">
        <f>'Data &amp; Assumptions'!K27</f>
        <v>0.15912459650760902</v>
      </c>
      <c r="C31" s="46">
        <f>'Data &amp; Assumptions'!L27</f>
        <v>0.16790424657542929</v>
      </c>
      <c r="D31" s="56"/>
    </row>
    <row r="32" spans="1:12">
      <c r="A32" s="55" t="s">
        <v>46</v>
      </c>
      <c r="B32" s="46">
        <f>'Data &amp; Assumptions'!K28</f>
        <v>0.8140019984813619</v>
      </c>
      <c r="C32" s="46">
        <f>'Data &amp; Assumptions'!L28</f>
        <v>0.84656207842061637</v>
      </c>
      <c r="D32" s="56"/>
    </row>
    <row r="33" spans="1:4">
      <c r="A33" s="57" t="s">
        <v>48</v>
      </c>
      <c r="B33" s="58">
        <f>'Data &amp; Assumptions'!K29</f>
        <v>9.5681651841663801E-2</v>
      </c>
      <c r="C33" s="58">
        <f>'Data &amp; Assumptions'!L29</f>
        <v>0.10448985610430009</v>
      </c>
      <c r="D33" s="59"/>
    </row>
    <row r="38" spans="1:4" ht="19">
      <c r="A38" s="90" t="s">
        <v>252</v>
      </c>
    </row>
    <row r="40" spans="1:4" ht="19">
      <c r="A40" s="90" t="s">
        <v>253</v>
      </c>
    </row>
    <row r="41" spans="1:4" ht="19">
      <c r="A41" s="90" t="s">
        <v>254</v>
      </c>
    </row>
    <row r="44" spans="1:4" ht="19">
      <c r="A44" s="90" t="s">
        <v>255</v>
      </c>
    </row>
    <row r="46" spans="1:4" ht="19">
      <c r="A46" s="90" t="s">
        <v>256</v>
      </c>
    </row>
    <row r="48" spans="1:4" ht="19">
      <c r="A48" s="90" t="s">
        <v>257</v>
      </c>
    </row>
    <row r="50" spans="1:1" ht="19">
      <c r="A50" s="90" t="s">
        <v>258</v>
      </c>
    </row>
    <row r="52" spans="1:1" ht="19">
      <c r="A52" s="90" t="s">
        <v>259</v>
      </c>
    </row>
    <row r="54" spans="1:1" ht="19">
      <c r="A54" s="90" t="s">
        <v>260</v>
      </c>
    </row>
    <row r="56" spans="1:1" ht="19">
      <c r="A56" s="90" t="s">
        <v>261</v>
      </c>
    </row>
  </sheetData>
  <scenarios current="0" show="0">
    <scenario name="IOBE elasticities" locked="1" count="14" user="Calc" comment="Created by Harinos on 26/05/2015">
      <inputCells r="L3" val="0.572"/>
      <inputCells r="L4" val="0.572"/>
      <inputCells r="L5" val="1.334"/>
      <inputCells r="L7" val="0.725"/>
      <inputCells r="L8" val="0.26"/>
      <inputCells r="L9" val="0.939"/>
      <inputCells r="L10" val="1.17"/>
      <inputCells r="L11" val="0.26"/>
      <inputCells r="L12" val="0.237"/>
      <inputCells r="L13" val="0.237"/>
      <inputCells r="L14" val="1.516"/>
      <inputCells r="L15" val="0.9"/>
      <inputCells r="L16" val="1.5"/>
      <inputCells r="L17" val="1"/>
    </scenario>
    <scenario name="Unit elasticities" locked="1" count="14" user="Calc" comment="Created by Harinos on 26/05/2015">
      <inputCells r="L3" val="1"/>
      <inputCells r="L4" val="1"/>
      <inputCells r="L5" val="1"/>
      <inputCells r="L7" val="1"/>
      <inputCells r="L8" val="1"/>
      <inputCells r="L9" val="1"/>
      <inputCells r="L10" val="1"/>
      <inputCells r="L11" val="1"/>
      <inputCells r="L12" val="1"/>
      <inputCells r="L13" val="1"/>
      <inputCells r="L14" val="1"/>
      <inputCells r="L15" val="1"/>
      <inputCells r="L16" val="1"/>
      <inputCells r="L17" val="1"/>
    </scenario>
    <scenario name="Zero elasticities" locked="1" count="14" user="Calc" comment="Created by Harinos on 26/05/2015">
      <inputCells r="L3" val="0"/>
      <inputCells r="L4" val="0"/>
      <inputCells r="L5" val="0"/>
      <inputCells r="L7" val="0"/>
      <inputCells r="L8" val="0"/>
      <inputCells r="L9" val="0"/>
      <inputCells r="L10" val="0"/>
      <inputCells r="L11" val="0"/>
      <inputCells r="L12" val="0"/>
      <inputCells r="L13" val="0"/>
      <inputCells r="L14" val="0"/>
      <inputCells r="L15" val="0"/>
      <inputCells r="L16" val="0"/>
      <inputCells r="L17" val="0"/>
    </scenario>
    <scenario name="Tweaked elasticities" locked="1" count="14" user="Calc" comment="Created by Harinos on 26/05/2015">
      <inputCells r="L3" val="0.4004"/>
      <inputCells r="L4" val="0.4004"/>
      <inputCells r="L5" val="1.334"/>
      <inputCells r="L7" val="0.725"/>
      <inputCells r="L8" val="0.26"/>
      <inputCells r="L9" val="0.939"/>
      <inputCells r="L10" val="1.17"/>
      <inputCells r="L11" val="0.26"/>
      <inputCells r="L12" val="0.237"/>
      <inputCells r="L13" val="0.237"/>
      <inputCells r="L14" val="1.516"/>
      <inputCells r="L15" val="0.9"/>
      <inputCells r="L16" val="1.05"/>
      <inputCells r="L17" val="1"/>
    </scenario>
  </scenarios>
  <mergeCells count="4">
    <mergeCell ref="B1:C1"/>
    <mergeCell ref="E1:F1"/>
    <mergeCell ref="H1:L1"/>
    <mergeCell ref="B21:C21"/>
  </mergeCells>
  <pageMargins left="0.7" right="0.7" top="0.75" bottom="0.75" header="0.51180555555555496" footer="0.51180555555555496"/>
  <pageSetup paperSize="0" scale="0" firstPageNumber="0" orientation="portrait" usePrinterDefaults="0" horizontalDpi="0" verticalDpi="0" copie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topLeftCell="A3" workbookViewId="0">
      <selection activeCell="A25" sqref="A25"/>
    </sheetView>
  </sheetViews>
  <sheetFormatPr baseColWidth="10" defaultColWidth="8.83203125" defaultRowHeight="14" x14ac:dyDescent="0"/>
  <cols>
    <col min="2" max="4" width="8.83203125" style="60"/>
    <col min="6" max="8" width="8.83203125" style="60"/>
    <col min="10" max="12" width="8.83203125" style="60"/>
  </cols>
  <sheetData>
    <row r="1" spans="1:13">
      <c r="B1" s="93" t="s">
        <v>70</v>
      </c>
      <c r="C1" s="93"/>
      <c r="D1" s="93"/>
      <c r="F1" s="93" t="s">
        <v>31</v>
      </c>
      <c r="G1" s="93"/>
      <c r="H1" s="93"/>
      <c r="J1" s="93" t="s">
        <v>71</v>
      </c>
      <c r="K1" s="93"/>
      <c r="L1" s="93"/>
    </row>
    <row r="2" spans="1:13">
      <c r="A2" s="1" t="s">
        <v>54</v>
      </c>
      <c r="B2" s="61" t="s">
        <v>69</v>
      </c>
      <c r="C2" s="61" t="s">
        <v>35</v>
      </c>
      <c r="D2" s="62" t="s">
        <v>36</v>
      </c>
      <c r="F2" s="61" t="s">
        <v>69</v>
      </c>
      <c r="G2" s="61" t="s">
        <v>35</v>
      </c>
      <c r="H2" s="62" t="s">
        <v>36</v>
      </c>
      <c r="J2" s="61" t="s">
        <v>69</v>
      </c>
      <c r="K2" s="61" t="s">
        <v>35</v>
      </c>
      <c r="L2" s="62" t="s">
        <v>36</v>
      </c>
    </row>
    <row r="3" spans="1:13">
      <c r="A3" t="str">
        <f>'Data &amp; Assumptions'!B4</f>
        <v>Bread &amp; milk</v>
      </c>
      <c r="B3" s="30">
        <f>Model!F122</f>
        <v>6567.3797832628989</v>
      </c>
      <c r="C3" s="30">
        <f>Model!N122</f>
        <v>6733.3722774871339</v>
      </c>
      <c r="D3" s="63">
        <f t="shared" ref="D3:D18" si="0">C3/B3-1</f>
        <v>2.5275299998223089E-2</v>
      </c>
      <c r="F3" s="30">
        <f>Model!H122</f>
        <v>683.45253438935447</v>
      </c>
      <c r="G3" s="30">
        <f>Model!P122</f>
        <v>627.02393930101948</v>
      </c>
      <c r="H3" s="64">
        <f t="shared" ref="H3:H18" si="1">G3-F3</f>
        <v>-56.428595088334987</v>
      </c>
      <c r="J3" s="63">
        <f>Model!D122</f>
        <v>0.12784706297584467</v>
      </c>
      <c r="K3" s="63">
        <f>Model!J122</f>
        <v>0.10999999999999999</v>
      </c>
      <c r="L3" s="65">
        <f t="shared" ref="L3:L18" si="2">K3-J3</f>
        <v>-1.784706297584468E-2</v>
      </c>
    </row>
    <row r="4" spans="1:13">
      <c r="A4" t="str">
        <f>'Data &amp; Assumptions'!B5</f>
        <v>Other food</v>
      </c>
      <c r="B4" s="30">
        <f>Model!F123</f>
        <v>12991.123070658567</v>
      </c>
      <c r="C4" s="30">
        <f>Model!N123</f>
        <v>13319.477603583298</v>
      </c>
      <c r="D4" s="63">
        <f t="shared" si="0"/>
        <v>2.5275299998223089E-2</v>
      </c>
      <c r="F4" s="30">
        <f>Model!H123</f>
        <v>1351.9571397155153</v>
      </c>
      <c r="G4" s="30">
        <f>Model!P123</f>
        <v>1240.3341107922961</v>
      </c>
      <c r="H4" s="64">
        <f t="shared" si="1"/>
        <v>-111.62302892321918</v>
      </c>
      <c r="J4" s="63">
        <f>Model!D123</f>
        <v>0.12784706297584464</v>
      </c>
      <c r="K4" s="63">
        <f>Model!J123</f>
        <v>0.11</v>
      </c>
      <c r="L4" s="65">
        <f t="shared" si="2"/>
        <v>-1.7847062975844638E-2</v>
      </c>
    </row>
    <row r="5" spans="1:13">
      <c r="A5" t="str">
        <f>'Data &amp; Assumptions'!B6</f>
        <v>Books</v>
      </c>
      <c r="B5" s="30">
        <f>Model!F124</f>
        <v>365.6220068570197</v>
      </c>
      <c r="C5" s="30">
        <f>Model!N124</f>
        <v>368.79420511688664</v>
      </c>
      <c r="D5" s="63">
        <f t="shared" si="0"/>
        <v>8.6761688311269847E-3</v>
      </c>
      <c r="F5" s="30">
        <f>Model!H124</f>
        <v>19.029733138869553</v>
      </c>
      <c r="G5" s="30">
        <f>Model!P124</f>
        <v>18.73243132759384</v>
      </c>
      <c r="H5" s="64">
        <f t="shared" si="1"/>
        <v>-0.29730181127571242</v>
      </c>
      <c r="J5" s="63">
        <f>Model!D124</f>
        <v>6.3940333745070549E-2</v>
      </c>
      <c r="K5" s="63">
        <f>Model!J124</f>
        <v>5.9999999999999991E-2</v>
      </c>
      <c r="L5" s="65">
        <f t="shared" si="2"/>
        <v>-3.9403337450705581E-3</v>
      </c>
    </row>
    <row r="6" spans="1:13">
      <c r="A6" t="str">
        <f>'Data &amp; Assumptions'!B7</f>
        <v>Newspapers &amp; periodicals</v>
      </c>
      <c r="B6" s="30">
        <f>Model!F125</f>
        <v>437.05458403217006</v>
      </c>
      <c r="C6" s="30">
        <f>Model!N125</f>
        <v>394.72594165784176</v>
      </c>
      <c r="D6" s="63">
        <f t="shared" si="0"/>
        <v>-9.6849784719824861E-2</v>
      </c>
      <c r="F6" s="30">
        <f>Model!H125</f>
        <v>22.74762444620653</v>
      </c>
      <c r="G6" s="30">
        <f>Model!P125</f>
        <v>36.757601493403726</v>
      </c>
      <c r="H6" s="64">
        <f t="shared" si="1"/>
        <v>14.009977047197196</v>
      </c>
      <c r="J6" s="63">
        <f>Model!D125</f>
        <v>6.3940333745070549E-2</v>
      </c>
      <c r="K6" s="63">
        <f>Model!J125</f>
        <v>0.11</v>
      </c>
      <c r="L6" s="65">
        <f t="shared" si="2"/>
        <v>4.6059666254929452E-2</v>
      </c>
    </row>
    <row r="7" spans="1:13">
      <c r="A7" t="str">
        <f>'Data &amp; Assumptions'!B8</f>
        <v>Pharmaceuticals</v>
      </c>
      <c r="B7" s="30">
        <f>Model!F126</f>
        <v>1732.2399964973965</v>
      </c>
      <c r="C7" s="30">
        <f>Model!N126</f>
        <v>1743.3477006525948</v>
      </c>
      <c r="D7" s="63">
        <f t="shared" si="0"/>
        <v>6.4123355757044198E-3</v>
      </c>
      <c r="F7" s="30">
        <f>Model!H126</f>
        <v>90.158864202921819</v>
      </c>
      <c r="G7" s="30">
        <f>Model!P126</f>
        <v>88.551123172455789</v>
      </c>
      <c r="H7" s="64">
        <f t="shared" si="1"/>
        <v>-1.6077410304660305</v>
      </c>
      <c r="J7" s="63">
        <f>Model!D126</f>
        <v>6.3940333745070549E-2</v>
      </c>
      <c r="K7" s="63">
        <f>Model!J126</f>
        <v>5.9999999999999991E-2</v>
      </c>
      <c r="L7" s="65">
        <f t="shared" si="2"/>
        <v>-3.9403337450705581E-3</v>
      </c>
    </row>
    <row r="8" spans="1:13">
      <c r="A8" t="str">
        <f>'Data &amp; Assumptions'!B9</f>
        <v>Water, electricity &amp; gas</v>
      </c>
      <c r="B8" s="30">
        <f>Model!F127</f>
        <v>2948.9813904593502</v>
      </c>
      <c r="C8" s="30">
        <f>Model!N127</f>
        <v>3008.7242979400285</v>
      </c>
      <c r="D8" s="63">
        <f t="shared" si="0"/>
        <v>2.0258828242850413E-2</v>
      </c>
      <c r="F8" s="30">
        <f>Model!H127</f>
        <v>306.89390163075376</v>
      </c>
      <c r="G8" s="30">
        <f>Model!P127</f>
        <v>280.17790845645931</v>
      </c>
      <c r="H8" s="64">
        <f t="shared" si="1"/>
        <v>-26.715993174294454</v>
      </c>
      <c r="J8" s="63">
        <f>Model!D127</f>
        <v>0.12784706297584464</v>
      </c>
      <c r="K8" s="63">
        <f>Model!J127</f>
        <v>0.10999999999999999</v>
      </c>
      <c r="L8" s="65">
        <f t="shared" si="2"/>
        <v>-1.7847062975844652E-2</v>
      </c>
    </row>
    <row r="9" spans="1:13">
      <c r="A9" t="str">
        <f>'Data &amp; Assumptions'!B10</f>
        <v>Alcohol</v>
      </c>
      <c r="B9" s="30">
        <f>Model!F128</f>
        <v>983.5995235394214</v>
      </c>
      <c r="C9" s="30">
        <f>Model!N128</f>
        <v>977.56590105501982</v>
      </c>
      <c r="D9" s="63">
        <f t="shared" si="0"/>
        <v>-6.1342267254156368E-3</v>
      </c>
      <c r="F9" s="30">
        <f>Model!H128</f>
        <v>181.03443230211809</v>
      </c>
      <c r="G9" s="30">
        <f>Model!P128</f>
        <v>190.34115082775989</v>
      </c>
      <c r="H9" s="64">
        <f t="shared" si="1"/>
        <v>9.3067185256417986</v>
      </c>
      <c r="J9" s="63">
        <f>Model!D128</f>
        <v>0.2261087679874878</v>
      </c>
      <c r="K9" s="63">
        <f>Model!J128</f>
        <v>0.23000000000000004</v>
      </c>
      <c r="L9" s="65">
        <f t="shared" si="2"/>
        <v>3.8912320125122357E-3</v>
      </c>
    </row>
    <row r="10" spans="1:13">
      <c r="A10" t="str">
        <f>'Data &amp; Assumptions'!B11</f>
        <v>Clothing and footwear</v>
      </c>
      <c r="B10" s="30">
        <f>Model!F129</f>
        <v>3712.5580689481317</v>
      </c>
      <c r="C10" s="30">
        <f>Model!N129</f>
        <v>3687.0712869729632</v>
      </c>
      <c r="D10" s="63">
        <f t="shared" si="0"/>
        <v>-6.8650190789849574E-3</v>
      </c>
      <c r="F10" s="30">
        <f>Model!H129</f>
        <v>683.30740948527489</v>
      </c>
      <c r="G10" s="30">
        <f>Model!P129</f>
        <v>717.90698835650619</v>
      </c>
      <c r="H10" s="64">
        <f t="shared" si="1"/>
        <v>34.599578871231301</v>
      </c>
      <c r="J10" s="63">
        <f>Model!D129</f>
        <v>0.22610876798748777</v>
      </c>
      <c r="K10" s="63">
        <f>Model!J129</f>
        <v>0.23</v>
      </c>
      <c r="L10" s="65">
        <f t="shared" si="2"/>
        <v>3.8912320125122357E-3</v>
      </c>
    </row>
    <row r="11" spans="1:13">
      <c r="A11" t="str">
        <f>'Data &amp; Assumptions'!B12</f>
        <v>Fuel</v>
      </c>
      <c r="B11" s="30">
        <f>Model!F130</f>
        <v>4006.985455347577</v>
      </c>
      <c r="C11" s="30">
        <f>Model!N130</f>
        <v>3991.0130499023135</v>
      </c>
      <c r="D11" s="63">
        <f t="shared" si="0"/>
        <v>-3.9861401103783445E-3</v>
      </c>
      <c r="F11" s="30">
        <f>Model!H130</f>
        <v>737.49765000025377</v>
      </c>
      <c r="G11" s="30">
        <f>Model!P130</f>
        <v>777.08726958169439</v>
      </c>
      <c r="H11" s="64">
        <f t="shared" si="1"/>
        <v>39.589619581440616</v>
      </c>
      <c r="J11" s="63">
        <f>Model!D130</f>
        <v>0.2261087679874878</v>
      </c>
      <c r="K11" s="63">
        <f>Model!J130</f>
        <v>0.23</v>
      </c>
      <c r="L11" s="65">
        <f t="shared" si="2"/>
        <v>3.891232012512208E-3</v>
      </c>
    </row>
    <row r="12" spans="1:13">
      <c r="A12" t="str">
        <f>'Data &amp; Assumptions'!B13</f>
        <v>Hotels</v>
      </c>
      <c r="B12" s="30">
        <f>Model!F131</f>
        <v>6849.7501028242241</v>
      </c>
      <c r="C12" s="30">
        <f>Model!N131</f>
        <v>6482.6640744748838</v>
      </c>
      <c r="D12" s="63">
        <f t="shared" si="0"/>
        <v>-5.359115629605038E-2</v>
      </c>
      <c r="F12" s="30">
        <f>Model!H131</f>
        <v>345.19739082660681</v>
      </c>
      <c r="G12" s="30">
        <f>Model!P131</f>
        <v>603.67753298491311</v>
      </c>
      <c r="H12" s="64">
        <f t="shared" si="1"/>
        <v>258.48014215830631</v>
      </c>
      <c r="J12" s="63">
        <f>Model!D131</f>
        <v>6.1910926848329988E-2</v>
      </c>
      <c r="K12" s="63">
        <f>Model!J131</f>
        <v>0.11</v>
      </c>
      <c r="L12" s="65">
        <f t="shared" si="2"/>
        <v>4.8089073151670013E-2</v>
      </c>
    </row>
    <row r="13" spans="1:13">
      <c r="A13" t="str">
        <f>'Data &amp; Assumptions'!B14</f>
        <v>Restaurants</v>
      </c>
      <c r="B13" s="30">
        <f>Model!F132</f>
        <v>15477.678087116183</v>
      </c>
      <c r="C13" s="30">
        <f>Model!N132</f>
        <v>15758.424508862274</v>
      </c>
      <c r="D13" s="63">
        <f t="shared" si="0"/>
        <v>1.8138794473299358E-2</v>
      </c>
      <c r="F13" s="30">
        <f>Model!H132</f>
        <v>1590.9403772342562</v>
      </c>
      <c r="G13" s="30">
        <f>Model!P132</f>
        <v>1467.4533065342512</v>
      </c>
      <c r="H13" s="64">
        <f t="shared" si="1"/>
        <v>-123.48707070000501</v>
      </c>
      <c r="J13" s="63">
        <f>Model!D132</f>
        <v>0.12627652535599238</v>
      </c>
      <c r="K13" s="63">
        <f>Model!J132</f>
        <v>0.10999999999999999</v>
      </c>
      <c r="L13" s="65">
        <f t="shared" si="2"/>
        <v>-1.6276525355992388E-2</v>
      </c>
      <c r="M13" s="66"/>
    </row>
    <row r="14" spans="1:13">
      <c r="A14" t="str">
        <f>'Data &amp; Assumptions'!B15</f>
        <v>Tobacco</v>
      </c>
      <c r="B14" s="30">
        <f>Model!F133</f>
        <v>3652.2045326778848</v>
      </c>
      <c r="C14" s="30">
        <f>Model!N133</f>
        <v>3623.1343512245539</v>
      </c>
      <c r="D14" s="63">
        <f t="shared" si="0"/>
        <v>-7.9596258077079263E-3</v>
      </c>
      <c r="F14" s="30">
        <f>Model!H133</f>
        <v>672.19916073705201</v>
      </c>
      <c r="G14" s="30">
        <f>Model!P133</f>
        <v>705.45787375705186</v>
      </c>
      <c r="H14" s="64">
        <f t="shared" si="1"/>
        <v>33.258713019999846</v>
      </c>
      <c r="J14" s="63">
        <f>Model!D133</f>
        <v>0.22610876798748777</v>
      </c>
      <c r="K14" s="63">
        <f>Model!J133</f>
        <v>0.23000000000000004</v>
      </c>
      <c r="L14" s="65">
        <f t="shared" si="2"/>
        <v>3.8912320125122635E-3</v>
      </c>
    </row>
    <row r="15" spans="1:13">
      <c r="A15" t="str">
        <f>'Data &amp; Assumptions'!B16</f>
        <v>Rest of 13% products &amp; services</v>
      </c>
      <c r="B15" s="30">
        <f>Model!F134</f>
        <v>10852.582133217773</v>
      </c>
      <c r="C15" s="30">
        <f>Model!N134</f>
        <v>8994.5784142334905</v>
      </c>
      <c r="D15" s="63">
        <f t="shared" si="0"/>
        <v>-0.17120383851298138</v>
      </c>
      <c r="F15" s="30">
        <f>Model!H134</f>
        <v>1114.2727406779063</v>
      </c>
      <c r="G15" s="30">
        <f>Model!P134</f>
        <v>1751.3278692802651</v>
      </c>
      <c r="H15" s="64">
        <f t="shared" si="1"/>
        <v>637.05512860235876</v>
      </c>
      <c r="J15" s="63">
        <f>Model!D134</f>
        <v>0.12613422807698307</v>
      </c>
      <c r="K15" s="63">
        <f>Model!J134</f>
        <v>0.23000000000000004</v>
      </c>
      <c r="L15" s="65">
        <f t="shared" si="2"/>
        <v>0.10386577192301696</v>
      </c>
    </row>
    <row r="16" spans="1:13">
      <c r="A16" t="str">
        <f>'Data &amp; Assumptions'!B17</f>
        <v>Rest of 23% products &amp; services</v>
      </c>
      <c r="B16" s="30">
        <f>Model!F135</f>
        <v>25270.435957987265</v>
      </c>
      <c r="C16" s="30">
        <f>Model!N135</f>
        <v>25009.704450870246</v>
      </c>
      <c r="D16" s="63">
        <f t="shared" si="0"/>
        <v>-1.031764974496252E-2</v>
      </c>
      <c r="F16" s="30">
        <f>Model!H135</f>
        <v>4616.3110412129045</v>
      </c>
      <c r="G16" s="30">
        <f>Model!P135</f>
        <v>4869.6214975412331</v>
      </c>
      <c r="H16" s="64">
        <f t="shared" si="1"/>
        <v>253.31045632832866</v>
      </c>
      <c r="J16" s="63">
        <f>Model!D135</f>
        <v>0.22441757124026532</v>
      </c>
      <c r="K16" s="63">
        <f>Model!J135</f>
        <v>0.23000000000000004</v>
      </c>
      <c r="L16" s="65">
        <f t="shared" si="2"/>
        <v>5.58242875973472E-3</v>
      </c>
    </row>
    <row r="17" spans="1:12">
      <c r="A17" t="str">
        <f>'Data &amp; Assumptions'!B18</f>
        <v>Products &amp; services where VAT not applied</v>
      </c>
      <c r="B17" s="30">
        <f>Model!F136</f>
        <v>33905</v>
      </c>
      <c r="C17" s="30">
        <f>Model!N136</f>
        <v>33905</v>
      </c>
      <c r="D17" s="63">
        <f t="shared" si="0"/>
        <v>0</v>
      </c>
      <c r="F17" s="30">
        <f>Model!H136</f>
        <v>0</v>
      </c>
      <c r="G17" s="30">
        <f>Model!P136</f>
        <v>0</v>
      </c>
      <c r="H17" s="64">
        <f t="shared" si="1"/>
        <v>0</v>
      </c>
      <c r="J17" s="63">
        <f>Model!D136</f>
        <v>0</v>
      </c>
      <c r="K17" s="63">
        <f>Model!J136</f>
        <v>0</v>
      </c>
      <c r="L17" s="65">
        <f t="shared" si="2"/>
        <v>0</v>
      </c>
    </row>
    <row r="18" spans="1:12" s="1" customFormat="1">
      <c r="A18" s="1" t="str">
        <f>'Data &amp; Assumptions'!B19</f>
        <v>Total</v>
      </c>
      <c r="B18" s="44">
        <f>SUM(B3:B17)</f>
        <v>129753.19469342586</v>
      </c>
      <c r="C18" s="44">
        <f>SUM(C3:C17)</f>
        <v>127997.59806403352</v>
      </c>
      <c r="D18" s="67">
        <f t="shared" si="0"/>
        <v>-1.3530276719123324E-2</v>
      </c>
      <c r="F18" s="44">
        <f>SUM(F3:F17)</f>
        <v>12414.999999999993</v>
      </c>
      <c r="G18" s="44">
        <f>SUM(G3:G17)</f>
        <v>13374.450603406902</v>
      </c>
      <c r="H18" s="68">
        <f t="shared" si="1"/>
        <v>959.45060340690907</v>
      </c>
      <c r="J18" s="67">
        <f>Model!D137</f>
        <v>0.15912459650760902</v>
      </c>
      <c r="K18" s="67">
        <f>Model!J137</f>
        <v>0.16790424657542929</v>
      </c>
      <c r="L18" s="69">
        <f t="shared" si="2"/>
        <v>8.7796500678202771E-3</v>
      </c>
    </row>
    <row r="19" spans="1:12">
      <c r="B19" s="30"/>
      <c r="C19" s="30"/>
      <c r="D19"/>
      <c r="F19"/>
      <c r="G19"/>
      <c r="H19"/>
      <c r="J19"/>
      <c r="K19"/>
      <c r="L19"/>
    </row>
    <row r="20" spans="1:12">
      <c r="A20" t="s">
        <v>72</v>
      </c>
      <c r="B20" s="30">
        <f>Model!F55</f>
        <v>118945.19524881913</v>
      </c>
      <c r="C20" s="30">
        <f>Model!N55</f>
        <v>117903.77784044009</v>
      </c>
      <c r="D20" s="63">
        <f>C20/B20-1</f>
        <v>-8.755439059144221E-3</v>
      </c>
      <c r="F20" s="30">
        <f>Model!H55</f>
        <v>11320.9808619498</v>
      </c>
      <c r="G20" s="30">
        <f>Model!P55</f>
        <v>12000.736522868672</v>
      </c>
      <c r="H20" s="64">
        <f>G20-F20</f>
        <v>679.75566091887231</v>
      </c>
      <c r="J20" s="63">
        <f>Model!D55</f>
        <v>0.16354389486628068</v>
      </c>
      <c r="K20" s="63">
        <f>Model!J55</f>
        <v>0.16876256719831004</v>
      </c>
      <c r="L20" s="65">
        <f>K20-J20</f>
        <v>5.218672332029356E-3</v>
      </c>
    </row>
    <row r="21" spans="1:12">
      <c r="A21" t="s">
        <v>73</v>
      </c>
      <c r="B21" s="30">
        <f>Model!F80</f>
        <v>10807.999444606718</v>
      </c>
      <c r="C21" s="30">
        <f>Model!N80</f>
        <v>10093.820223593426</v>
      </c>
      <c r="D21" s="63">
        <f>C21/B21-1</f>
        <v>-6.6078761816524056E-2</v>
      </c>
      <c r="F21" s="30">
        <f>Model!H80</f>
        <v>1094.0191380501924</v>
      </c>
      <c r="G21" s="30">
        <f>Model!P80</f>
        <v>1373.714080538231</v>
      </c>
      <c r="H21" s="64">
        <f>G21-F21</f>
        <v>279.69494248803858</v>
      </c>
      <c r="J21" s="63">
        <f>Model!D80</f>
        <v>0.1243523893835829</v>
      </c>
      <c r="K21" s="63">
        <f>Model!J80</f>
        <v>0.16076147191527593</v>
      </c>
      <c r="L21" s="65">
        <f>K21-J21</f>
        <v>3.6409082531693032E-2</v>
      </c>
    </row>
    <row r="22" spans="1:12">
      <c r="B22" s="30"/>
      <c r="C22" s="30"/>
      <c r="D22"/>
      <c r="F22" s="30"/>
      <c r="G22" s="30"/>
      <c r="H22" s="64"/>
      <c r="J22" s="63"/>
      <c r="K22" s="63"/>
      <c r="L22" s="65"/>
    </row>
    <row r="23" spans="1:12">
      <c r="A23" t="s">
        <v>74</v>
      </c>
      <c r="B23" s="30">
        <f>Model!F37</f>
        <v>6541.3062681983865</v>
      </c>
      <c r="C23" s="30">
        <f>Model!N37</f>
        <v>6115.0873296612326</v>
      </c>
      <c r="D23" s="63">
        <f>C23/B23-1</f>
        <v>-6.515807715796551E-2</v>
      </c>
      <c r="F23" s="30">
        <f>Model!H37</f>
        <v>450.17886573450335</v>
      </c>
      <c r="G23" s="30">
        <f>Model!P37</f>
        <v>608.71863711218521</v>
      </c>
      <c r="H23" s="64">
        <f>G23-F23</f>
        <v>158.53977137768186</v>
      </c>
      <c r="J23" s="63">
        <f>Model!D37</f>
        <v>0.11690334730248955</v>
      </c>
      <c r="K23" s="63">
        <f>Model!J37</f>
        <v>0.16704327241573091</v>
      </c>
      <c r="L23" s="65">
        <f>K23-J23</f>
        <v>5.0139925113241363E-2</v>
      </c>
    </row>
  </sheetData>
  <mergeCells count="3">
    <mergeCell ref="B1:D1"/>
    <mergeCell ref="F1:H1"/>
    <mergeCell ref="J1:L1"/>
  </mergeCells>
  <pageMargins left="0.7" right="0.7" top="0.75" bottom="0.75" header="0.51180555555555496" footer="0.51180555555555496"/>
  <pageSetup paperSize="0" scale="0" firstPageNumber="0" orientation="portrait" usePrinterDefaults="0" horizontalDpi="0" verticalDpi="0" copie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
  <sheetViews>
    <sheetView zoomScale="78" zoomScaleNormal="78" zoomScalePageLayoutView="78" workbookViewId="0"/>
  </sheetViews>
  <sheetFormatPr baseColWidth="10" defaultColWidth="8.83203125" defaultRowHeight="14" x14ac:dyDescent="0"/>
  <sheetData/>
  <pageMargins left="0.7" right="0.7" top="0.75" bottom="0.75" header="0.51180555555555496" footer="0.51180555555555496"/>
  <pageSetup paperSize="0" scale="0" firstPageNumber="0" orientation="portrait" usePrinterDefaults="0" horizontalDpi="0" verticalDpi="0" copies="0"/>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8"/>
  <sheetViews>
    <sheetView zoomScale="90" zoomScaleNormal="90" zoomScalePageLayoutView="90" workbookViewId="0">
      <pane xSplit="2" ySplit="2" topLeftCell="C129" activePane="bottomRight" state="frozen"/>
      <selection pane="topRight" activeCell="C1" sqref="C1"/>
      <selection pane="bottomLeft" activeCell="A129" sqref="A129"/>
      <selection pane="bottomRight" activeCell="F140" sqref="F140"/>
    </sheetView>
  </sheetViews>
  <sheetFormatPr baseColWidth="10" defaultColWidth="8.83203125" defaultRowHeight="14" x14ac:dyDescent="0"/>
  <sheetData>
    <row r="1" spans="1:19">
      <c r="A1" s="1"/>
      <c r="C1" s="94" t="s">
        <v>75</v>
      </c>
      <c r="D1" s="94"/>
      <c r="E1" s="94"/>
      <c r="F1" s="94"/>
      <c r="G1" s="94"/>
      <c r="H1" s="94"/>
      <c r="J1" s="94" t="s">
        <v>76</v>
      </c>
      <c r="K1" s="94"/>
      <c r="L1" s="94"/>
      <c r="M1" s="94"/>
      <c r="N1" s="94"/>
      <c r="O1" s="94"/>
      <c r="P1" s="94"/>
      <c r="R1" s="70" t="s">
        <v>77</v>
      </c>
      <c r="S1" s="70" t="s">
        <v>78</v>
      </c>
    </row>
    <row r="2" spans="1:19" s="17" customFormat="1" ht="60" customHeight="1">
      <c r="C2" s="17" t="s">
        <v>79</v>
      </c>
      <c r="D2" s="17" t="s">
        <v>6</v>
      </c>
      <c r="E2" s="17" t="s">
        <v>63</v>
      </c>
      <c r="F2" s="17" t="s">
        <v>80</v>
      </c>
      <c r="G2" s="71" t="s">
        <v>81</v>
      </c>
      <c r="H2" s="17" t="s">
        <v>82</v>
      </c>
      <c r="J2" s="17" t="s">
        <v>83</v>
      </c>
      <c r="K2" s="17" t="s">
        <v>62</v>
      </c>
      <c r="L2" s="17" t="s">
        <v>84</v>
      </c>
      <c r="M2" s="17" t="s">
        <v>79</v>
      </c>
      <c r="N2" s="17" t="s">
        <v>80</v>
      </c>
      <c r="O2" s="71" t="s">
        <v>81</v>
      </c>
      <c r="P2" s="17" t="s">
        <v>82</v>
      </c>
      <c r="R2" s="17" t="s">
        <v>31</v>
      </c>
      <c r="S2" s="17" t="s">
        <v>31</v>
      </c>
    </row>
    <row r="3" spans="1:19">
      <c r="A3" t="s">
        <v>85</v>
      </c>
      <c r="N3" s="72"/>
    </row>
    <row r="4" spans="1:19">
      <c r="B4" t="str">
        <f>'Data &amp; Assumptions'!B4</f>
        <v>Bread &amp; milk</v>
      </c>
      <c r="C4" s="8">
        <f>'Data &amp; Assumptions'!D4*(1-islands)</f>
        <v>7011.4661999999998</v>
      </c>
      <c r="D4" s="9">
        <f>'Data &amp; Assumptions'!E4</f>
        <v>0.13</v>
      </c>
      <c r="E4" s="73">
        <f>'New rates &amp; Overrides'!F3</f>
        <v>0.81400199848136201</v>
      </c>
      <c r="F4" s="8">
        <f t="shared" ref="F4:F18" si="0">C4/(1+D4)</f>
        <v>6204.8373451327434</v>
      </c>
      <c r="G4" s="8">
        <f t="shared" ref="G4:G18" si="1">D4*F4</f>
        <v>806.62885486725668</v>
      </c>
      <c r="H4" s="8">
        <f t="shared" ref="H4:H18" si="2">G4*E4</f>
        <v>656.59749989467946</v>
      </c>
      <c r="J4" s="74">
        <f>'New rates &amp; Overrides'!C3</f>
        <v>0.11</v>
      </c>
      <c r="K4" s="13">
        <f>'New rates &amp; Overrides'!E3</f>
        <v>0.57199999999999995</v>
      </c>
      <c r="L4" s="21">
        <f>E4*(1+'Data &amp; Assumptions'!$M$7)</f>
        <v>0.84656207842061648</v>
      </c>
      <c r="M4" s="8">
        <f t="shared" ref="M4:M18" si="3">$C4*(-$K4)*(((1+J4)-(1+$D4))/(1+$D4))+$C4</f>
        <v>7082.4495392283179</v>
      </c>
      <c r="N4" s="8">
        <f t="shared" ref="N4:N18" si="4">M4/(1+J4)</f>
        <v>6380.5851704759616</v>
      </c>
      <c r="O4" s="8">
        <f t="shared" ref="O4:O18" si="5">N4*J4</f>
        <v>701.86436875235574</v>
      </c>
      <c r="P4" s="8">
        <f t="shared" ref="P4:P18" si="6">L4*O4</f>
        <v>594.17175878036824</v>
      </c>
      <c r="R4" s="8">
        <f t="shared" ref="R4:R18" si="7">P4-H4</f>
        <v>-62.425741114311222</v>
      </c>
      <c r="S4" s="46">
        <f t="shared" ref="S4:S17" si="8">P4/H4-1</f>
        <v>-9.5074594594594886E-2</v>
      </c>
    </row>
    <row r="5" spans="1:19">
      <c r="B5" t="str">
        <f>'Data &amp; Assumptions'!B5</f>
        <v>Other food</v>
      </c>
      <c r="C5" s="8">
        <f>'Data &amp; Assumptions'!D5*(1-islands)</f>
        <v>13869.583199999999</v>
      </c>
      <c r="D5" s="9">
        <f>'Data &amp; Assumptions'!E5</f>
        <v>0.13</v>
      </c>
      <c r="E5" s="73">
        <f>'New rates &amp; Overrides'!F4</f>
        <v>0.81400199848136201</v>
      </c>
      <c r="F5" s="8">
        <f t="shared" si="0"/>
        <v>12273.967433628319</v>
      </c>
      <c r="G5" s="8">
        <f t="shared" si="1"/>
        <v>1595.6157663716815</v>
      </c>
      <c r="H5" s="8">
        <f t="shared" si="2"/>
        <v>1298.8344226349188</v>
      </c>
      <c r="J5" s="74">
        <f>'New rates &amp; Overrides'!C4</f>
        <v>0.11</v>
      </c>
      <c r="K5" s="13">
        <f>'New rates &amp; Overrides'!E4</f>
        <v>0.57199999999999995</v>
      </c>
      <c r="L5" s="21">
        <f>E5*(1+'Data &amp; Assumptions'!$M$7)</f>
        <v>0.84656207842061648</v>
      </c>
      <c r="M5" s="8">
        <f t="shared" si="3"/>
        <v>14009.997387440706</v>
      </c>
      <c r="N5" s="8">
        <f t="shared" si="4"/>
        <v>12621.619267964599</v>
      </c>
      <c r="O5" s="8">
        <f t="shared" si="5"/>
        <v>1388.3781194761059</v>
      </c>
      <c r="P5" s="8">
        <f t="shared" si="6"/>
        <v>1175.3482664573992</v>
      </c>
      <c r="R5" s="8">
        <f t="shared" si="7"/>
        <v>-123.48615617751966</v>
      </c>
      <c r="S5" s="46">
        <f t="shared" si="8"/>
        <v>-9.5074594594594886E-2</v>
      </c>
    </row>
    <row r="6" spans="1:19">
      <c r="B6" t="str">
        <f>'Data &amp; Assumptions'!B6</f>
        <v>Books</v>
      </c>
      <c r="C6" s="8">
        <f>'Data &amp; Assumptions'!D6*(1-islands)</f>
        <v>368.22739999999999</v>
      </c>
      <c r="D6" s="9">
        <f>'Data &amp; Assumptions'!E6</f>
        <v>6.5000000000000002E-2</v>
      </c>
      <c r="E6" s="73">
        <f>'New rates &amp; Overrides'!F5</f>
        <v>0.81400199848136201</v>
      </c>
      <c r="F6" s="8">
        <f t="shared" si="0"/>
        <v>345.75342723004695</v>
      </c>
      <c r="G6" s="8">
        <f t="shared" si="1"/>
        <v>22.473972769953054</v>
      </c>
      <c r="H6" s="8">
        <f t="shared" si="2"/>
        <v>18.293858748557497</v>
      </c>
      <c r="J6" s="74">
        <f>'New rates &amp; Overrides'!C5</f>
        <v>0.06</v>
      </c>
      <c r="K6" s="13">
        <f>'New rates &amp; Overrides'!E5</f>
        <v>1.3340000000000001</v>
      </c>
      <c r="L6" s="21">
        <f>E6*(1+'Data &amp; Assumptions'!$M$7)</f>
        <v>0.84656207842061648</v>
      </c>
      <c r="M6" s="8">
        <f t="shared" si="3"/>
        <v>370.53357535962436</v>
      </c>
      <c r="N6" s="8">
        <f t="shared" si="4"/>
        <v>349.55997675436259</v>
      </c>
      <c r="O6" s="8">
        <f t="shared" si="5"/>
        <v>20.973598605261756</v>
      </c>
      <c r="P6" s="8">
        <f t="shared" si="6"/>
        <v>17.755453227230134</v>
      </c>
      <c r="R6" s="8">
        <f t="shared" si="7"/>
        <v>-0.53840552132736264</v>
      </c>
      <c r="S6" s="46">
        <f t="shared" si="8"/>
        <v>-2.9430943396226761E-2</v>
      </c>
    </row>
    <row r="7" spans="1:19">
      <c r="B7" t="str">
        <f>'Data &amp; Assumptions'!B7</f>
        <v>Newspapers &amp; periodicals</v>
      </c>
      <c r="C7" s="8">
        <f>'Data &amp; Assumptions'!D7*(1-islands)</f>
        <v>440.16899999999998</v>
      </c>
      <c r="D7" s="9">
        <f>'Data &amp; Assumptions'!E7</f>
        <v>6.5000000000000002E-2</v>
      </c>
      <c r="E7" s="73">
        <f>'New rates &amp; Overrides'!F6</f>
        <v>0.81400199848136201</v>
      </c>
      <c r="F7" s="8">
        <f t="shared" si="0"/>
        <v>413.30422535211267</v>
      </c>
      <c r="G7" s="8">
        <f t="shared" si="1"/>
        <v>26.864774647887323</v>
      </c>
      <c r="H7" s="8">
        <f t="shared" si="2"/>
        <v>21.867980252131709</v>
      </c>
      <c r="J7" s="74">
        <f>'New rates &amp; Overrides'!C6</f>
        <v>0.11</v>
      </c>
      <c r="K7" s="13">
        <f>'New rates &amp; Overrides'!E6</f>
        <v>1.3340000000000001</v>
      </c>
      <c r="L7" s="21">
        <f>E7*(1+'Data &amp; Assumptions'!$M$7)</f>
        <v>0.84656207842061648</v>
      </c>
      <c r="M7" s="8">
        <f t="shared" si="3"/>
        <v>415.35834735211256</v>
      </c>
      <c r="N7" s="8">
        <f t="shared" si="4"/>
        <v>374.19670932622751</v>
      </c>
      <c r="O7" s="8">
        <f t="shared" si="5"/>
        <v>41.161638025885026</v>
      </c>
      <c r="P7" s="8">
        <f t="shared" si="6"/>
        <v>34.845881838390305</v>
      </c>
      <c r="R7" s="8">
        <f t="shared" si="7"/>
        <v>12.977901586258596</v>
      </c>
      <c r="S7" s="46">
        <f t="shared" si="8"/>
        <v>0.59346594594594526</v>
      </c>
    </row>
    <row r="8" spans="1:19">
      <c r="B8" t="str">
        <f>'Data &amp; Assumptions'!B8</f>
        <v>Pharmaceuticals</v>
      </c>
      <c r="C8" s="8">
        <f>'Data &amp; Assumptions'!D8*(1-islands)</f>
        <v>1744.5837999999999</v>
      </c>
      <c r="D8" s="9">
        <f>'Data &amp; Assumptions'!E8</f>
        <v>6.5000000000000002E-2</v>
      </c>
      <c r="E8" s="73">
        <f>'New rates &amp; Overrides'!F7</f>
        <v>0.81400199848136201</v>
      </c>
      <c r="F8" s="8">
        <f t="shared" si="0"/>
        <v>1638.1068544600939</v>
      </c>
      <c r="G8" s="8">
        <f t="shared" si="1"/>
        <v>106.47694553990611</v>
      </c>
      <c r="H8" s="8">
        <f t="shared" si="2"/>
        <v>86.672446461674724</v>
      </c>
      <c r="J8" s="74">
        <f>'New rates &amp; Overrides'!C7</f>
        <v>0.06</v>
      </c>
      <c r="K8" s="13">
        <f>'New rates &amp; Overrides'!E7</f>
        <v>0.72499999999999998</v>
      </c>
      <c r="L8" s="21">
        <f>E8*(1+'Data &amp; Assumptions'!$M$7)</f>
        <v>0.84656207842061648</v>
      </c>
      <c r="M8" s="8">
        <f t="shared" si="3"/>
        <v>1750.5219373474176</v>
      </c>
      <c r="N8" s="8">
        <f t="shared" si="4"/>
        <v>1651.4357899503939</v>
      </c>
      <c r="O8" s="8">
        <f t="shared" si="5"/>
        <v>99.086147397023623</v>
      </c>
      <c r="P8" s="8">
        <f t="shared" si="6"/>
        <v>83.882574883115879</v>
      </c>
      <c r="R8" s="8">
        <f t="shared" si="7"/>
        <v>-2.789871578558845</v>
      </c>
      <c r="S8" s="46">
        <f t="shared" si="8"/>
        <v>-3.2188679245283347E-2</v>
      </c>
    </row>
    <row r="9" spans="1:19">
      <c r="B9" t="str">
        <f>'Data &amp; Assumptions'!B9</f>
        <v>Water, electricity &amp; gas</v>
      </c>
      <c r="C9" s="8">
        <f>'Data &amp; Assumptions'!D9*(1-islands)</f>
        <v>3148.3915999999999</v>
      </c>
      <c r="D9" s="9">
        <f>'Data &amp; Assumptions'!E9</f>
        <v>0.13</v>
      </c>
      <c r="E9" s="73">
        <f>'New rates &amp; Overrides'!F8</f>
        <v>0.81400199848136201</v>
      </c>
      <c r="F9" s="8">
        <f t="shared" si="0"/>
        <v>2786.1872566371685</v>
      </c>
      <c r="G9" s="8">
        <f t="shared" si="1"/>
        <v>362.20434336283193</v>
      </c>
      <c r="H9" s="8">
        <f t="shared" si="2"/>
        <v>294.83505935597464</v>
      </c>
      <c r="J9" s="74">
        <f>'New rates &amp; Overrides'!C8</f>
        <v>0.11</v>
      </c>
      <c r="K9" s="13">
        <f>'New rates &amp; Overrides'!E8</f>
        <v>0.26</v>
      </c>
      <c r="L9" s="21">
        <f>E9*(1+'Data &amp; Assumptions'!$M$7)</f>
        <v>0.84656207842061648</v>
      </c>
      <c r="M9" s="8">
        <f t="shared" si="3"/>
        <v>3162.879773734513</v>
      </c>
      <c r="N9" s="8">
        <f t="shared" si="4"/>
        <v>2849.4412375986603</v>
      </c>
      <c r="O9" s="8">
        <f t="shared" si="5"/>
        <v>313.43853613585264</v>
      </c>
      <c r="P9" s="8">
        <f t="shared" si="6"/>
        <v>265.34517860828294</v>
      </c>
      <c r="R9" s="8">
        <f t="shared" si="7"/>
        <v>-29.4898807476917</v>
      </c>
      <c r="S9" s="46">
        <f t="shared" si="8"/>
        <v>-0.10002162162162176</v>
      </c>
    </row>
    <row r="10" spans="1:19">
      <c r="B10" t="s">
        <v>16</v>
      </c>
      <c r="C10" s="8">
        <f>'Data &amp; Assumptions'!D10*(1-islands)</f>
        <v>1141.5996</v>
      </c>
      <c r="D10" s="9">
        <f>'Data &amp; Assumptions'!E10</f>
        <v>0.23</v>
      </c>
      <c r="E10" s="73">
        <f>'New rates &amp; Overrides'!F9</f>
        <v>0.81400199848136201</v>
      </c>
      <c r="F10" s="8">
        <f t="shared" si="0"/>
        <v>928.12975609756097</v>
      </c>
      <c r="G10" s="8">
        <f t="shared" si="1"/>
        <v>213.46984390243904</v>
      </c>
      <c r="H10" s="8">
        <f t="shared" si="2"/>
        <v>173.76487955208978</v>
      </c>
      <c r="J10" s="74">
        <f>'New rates &amp; Overrides'!C9</f>
        <v>0.23</v>
      </c>
      <c r="K10" s="13">
        <f>'New rates &amp; Overrides'!E9</f>
        <v>0.93899999999999995</v>
      </c>
      <c r="L10" s="21">
        <f>E10*(1+'Data &amp; Assumptions'!$M$7)</f>
        <v>0.84656207842061648</v>
      </c>
      <c r="M10" s="8">
        <f t="shared" si="3"/>
        <v>1141.5996</v>
      </c>
      <c r="N10" s="8">
        <f t="shared" si="4"/>
        <v>928.12975609756097</v>
      </c>
      <c r="O10" s="8">
        <f t="shared" si="5"/>
        <v>213.46984390243904</v>
      </c>
      <c r="P10" s="8">
        <f t="shared" si="6"/>
        <v>180.71547473417337</v>
      </c>
      <c r="R10" s="8">
        <f t="shared" si="7"/>
        <v>6.950595182083589</v>
      </c>
      <c r="S10" s="46">
        <f t="shared" si="8"/>
        <v>4.0000000000000036E-2</v>
      </c>
    </row>
    <row r="11" spans="1:19">
      <c r="B11" t="s">
        <v>19</v>
      </c>
      <c r="C11" s="8">
        <f>'Data &amp; Assumptions'!D11*(1-islands)</f>
        <v>4308.9232000000002</v>
      </c>
      <c r="D11" s="9">
        <f>'Data &amp; Assumptions'!E11</f>
        <v>0.23</v>
      </c>
      <c r="E11" s="73">
        <f>'New rates &amp; Overrides'!F10</f>
        <v>0.81400199848136201</v>
      </c>
      <c r="F11" s="8">
        <f t="shared" si="0"/>
        <v>3503.1895934959352</v>
      </c>
      <c r="G11" s="8">
        <f t="shared" si="1"/>
        <v>805.73360650406516</v>
      </c>
      <c r="H11" s="8">
        <f t="shared" si="2"/>
        <v>655.86876593790441</v>
      </c>
      <c r="J11" s="74">
        <f>'New rates &amp; Overrides'!C10</f>
        <v>0.23</v>
      </c>
      <c r="K11" s="13">
        <f>'New rates &amp; Overrides'!E10</f>
        <v>1.17</v>
      </c>
      <c r="L11" s="21">
        <f>E11*(1+'Data &amp; Assumptions'!$M$7)</f>
        <v>0.84656207842061648</v>
      </c>
      <c r="M11" s="8">
        <f t="shared" si="3"/>
        <v>4308.9232000000002</v>
      </c>
      <c r="N11" s="8">
        <f t="shared" si="4"/>
        <v>3503.1895934959352</v>
      </c>
      <c r="O11" s="8">
        <f t="shared" si="5"/>
        <v>805.73360650406516</v>
      </c>
      <c r="P11" s="8">
        <f t="shared" si="6"/>
        <v>682.1035165754206</v>
      </c>
      <c r="R11" s="8">
        <f t="shared" si="7"/>
        <v>26.234750637516186</v>
      </c>
      <c r="S11" s="46">
        <f t="shared" si="8"/>
        <v>4.0000000000000036E-2</v>
      </c>
    </row>
    <row r="12" spans="1:19">
      <c r="B12" t="str">
        <f>'Data &amp; Assumptions'!B12</f>
        <v>Fuel</v>
      </c>
      <c r="C12" s="8">
        <f>'Data &amp; Assumptions'!D12*(1-islands)</f>
        <v>4650.6458000000002</v>
      </c>
      <c r="D12" s="9">
        <f>'Data &amp; Assumptions'!E12</f>
        <v>0.23</v>
      </c>
      <c r="E12" s="73">
        <f>'New rates &amp; Overrides'!F11</f>
        <v>0.81400199848136201</v>
      </c>
      <c r="F12" s="8">
        <f t="shared" si="0"/>
        <v>3781.0128455284557</v>
      </c>
      <c r="G12" s="8">
        <f t="shared" si="1"/>
        <v>869.63295447154485</v>
      </c>
      <c r="H12" s="8">
        <f t="shared" si="2"/>
        <v>707.88296288508877</v>
      </c>
      <c r="J12" s="74">
        <f>'New rates &amp; Overrides'!C11</f>
        <v>0.23</v>
      </c>
      <c r="K12" s="13">
        <f>'New rates &amp; Overrides'!E11</f>
        <v>0.26</v>
      </c>
      <c r="L12" s="21">
        <f>E12*(1+'Data &amp; Assumptions'!$M$7)</f>
        <v>0.84656207842061648</v>
      </c>
      <c r="M12" s="8">
        <f t="shared" si="3"/>
        <v>4650.6458000000002</v>
      </c>
      <c r="N12" s="8">
        <f t="shared" si="4"/>
        <v>3781.0128455284557</v>
      </c>
      <c r="O12" s="8">
        <f t="shared" si="5"/>
        <v>869.63295447154485</v>
      </c>
      <c r="P12" s="8">
        <f t="shared" si="6"/>
        <v>736.19828140049231</v>
      </c>
      <c r="R12" s="8">
        <f t="shared" si="7"/>
        <v>28.315318515403533</v>
      </c>
      <c r="S12" s="46">
        <f t="shared" si="8"/>
        <v>4.0000000000000036E-2</v>
      </c>
    </row>
    <row r="13" spans="1:19">
      <c r="B13" t="str">
        <f>'Data &amp; Assumptions'!B13</f>
        <v>Hotels</v>
      </c>
      <c r="C13" s="8">
        <f>'Data &amp; Assumptions'!D13*(1-islands)</f>
        <v>3670.9148</v>
      </c>
      <c r="D13" s="9">
        <f>'Data &amp; Assumptions'!E13</f>
        <v>6.5000000000000002E-2</v>
      </c>
      <c r="E13" s="73">
        <f>'New rates &amp; Overrides'!F12</f>
        <v>0.81400199848136201</v>
      </c>
      <c r="F13" s="8">
        <f t="shared" si="0"/>
        <v>3446.8683568075121</v>
      </c>
      <c r="G13" s="8">
        <f t="shared" si="1"/>
        <v>224.04644319248828</v>
      </c>
      <c r="H13" s="8">
        <f t="shared" si="2"/>
        <v>182.3742525113264</v>
      </c>
      <c r="J13" s="74">
        <f>'New rates &amp; Overrides'!C12</f>
        <v>0.11</v>
      </c>
      <c r="K13" s="13">
        <f>'New rates &amp; Overrides'!E12</f>
        <v>0.23699999999999999</v>
      </c>
      <c r="L13" s="21">
        <f>E13*(1+'Data &amp; Assumptions'!$M$7)</f>
        <v>0.84656207842061648</v>
      </c>
      <c r="M13" s="8">
        <f t="shared" si="3"/>
        <v>3634.1539489746478</v>
      </c>
      <c r="N13" s="8">
        <f t="shared" si="4"/>
        <v>3274.0125666438266</v>
      </c>
      <c r="O13" s="8">
        <f t="shared" si="5"/>
        <v>360.14138233082093</v>
      </c>
      <c r="P13" s="8">
        <f t="shared" si="6"/>
        <v>304.88203715125366</v>
      </c>
      <c r="R13" s="8">
        <f t="shared" si="7"/>
        <v>122.50778463992725</v>
      </c>
      <c r="S13" s="46">
        <f t="shared" si="8"/>
        <v>0.67173837837837813</v>
      </c>
    </row>
    <row r="14" spans="1:19">
      <c r="B14" t="str">
        <f>'Data &amp; Assumptions'!B14</f>
        <v>Restaurants</v>
      </c>
      <c r="C14" s="8">
        <f>'Data &amp; Assumptions'!D14*(1-islands)</f>
        <v>13565.7246</v>
      </c>
      <c r="D14" s="9">
        <f>'Data &amp; Assumptions'!E14</f>
        <v>0.13</v>
      </c>
      <c r="E14" s="73">
        <f>'New rates &amp; Overrides'!F13</f>
        <v>0.81400199848136201</v>
      </c>
      <c r="F14" s="8">
        <f t="shared" si="0"/>
        <v>12005.066017699115</v>
      </c>
      <c r="G14" s="8">
        <f t="shared" si="1"/>
        <v>1560.658582300885</v>
      </c>
      <c r="H14" s="8">
        <f t="shared" si="2"/>
        <v>1270.3792049400095</v>
      </c>
      <c r="J14" s="74">
        <f>'New rates &amp; Overrides'!C13</f>
        <v>0.11</v>
      </c>
      <c r="K14" s="13">
        <f>'New rates &amp; Overrides'!E13</f>
        <v>0.23699999999999999</v>
      </c>
      <c r="L14" s="21">
        <f>E14*(1+'Data &amp; Assumptions'!$M$7)</f>
        <v>0.84656207842061648</v>
      </c>
      <c r="M14" s="8">
        <f t="shared" si="3"/>
        <v>13622.628612923892</v>
      </c>
      <c r="N14" s="8">
        <f t="shared" si="4"/>
        <v>12272.638390021524</v>
      </c>
      <c r="O14" s="8">
        <f t="shared" si="5"/>
        <v>1349.9902229023676</v>
      </c>
      <c r="P14" s="8">
        <f t="shared" si="6"/>
        <v>1142.8505289477396</v>
      </c>
      <c r="R14" s="8">
        <f t="shared" si="7"/>
        <v>-127.52867599226988</v>
      </c>
      <c r="S14" s="46">
        <f t="shared" si="8"/>
        <v>-0.10038630630630652</v>
      </c>
    </row>
    <row r="15" spans="1:19">
      <c r="B15" t="str">
        <f>'Data &amp; Assumptions'!B15</f>
        <v>Tobacco</v>
      </c>
      <c r="C15" s="8">
        <f>'Data &amp; Assumptions'!D15*(1-islands)</f>
        <v>4238.8747999999996</v>
      </c>
      <c r="D15" s="9">
        <f>'Data &amp; Assumptions'!E15</f>
        <v>0.23</v>
      </c>
      <c r="E15" s="73">
        <f>'New rates &amp; Overrides'!F14</f>
        <v>0.81400199848136201</v>
      </c>
      <c r="F15" s="8">
        <f t="shared" si="0"/>
        <v>3446.2396747967477</v>
      </c>
      <c r="G15" s="8">
        <f t="shared" si="1"/>
        <v>792.63512520325207</v>
      </c>
      <c r="H15" s="8">
        <f t="shared" si="2"/>
        <v>645.20657598197181</v>
      </c>
      <c r="J15" s="74">
        <f>'New rates &amp; Overrides'!C14</f>
        <v>0.23</v>
      </c>
      <c r="K15" s="13">
        <f>'New rates &amp; Overrides'!E14</f>
        <v>1.516</v>
      </c>
      <c r="L15" s="21">
        <f>E15*(1+'Data &amp; Assumptions'!$M$7)</f>
        <v>0.84656207842061648</v>
      </c>
      <c r="M15" s="8">
        <f t="shared" si="3"/>
        <v>4238.8747999999996</v>
      </c>
      <c r="N15" s="8">
        <f t="shared" si="4"/>
        <v>3446.2396747967477</v>
      </c>
      <c r="O15" s="8">
        <f t="shared" si="5"/>
        <v>792.63512520325207</v>
      </c>
      <c r="P15" s="8">
        <f t="shared" si="6"/>
        <v>671.01483902125062</v>
      </c>
      <c r="R15" s="8">
        <f t="shared" si="7"/>
        <v>25.808263039278813</v>
      </c>
      <c r="S15" s="46">
        <f t="shared" si="8"/>
        <v>3.9999999999999813E-2</v>
      </c>
    </row>
    <row r="16" spans="1:19">
      <c r="B16" t="str">
        <f>'Data &amp; Assumptions'!B16</f>
        <v>Rest of 13% products &amp; services</v>
      </c>
      <c r="C16" s="8">
        <f>'Data &amp; Assumptions'!D16*(1-islands)</f>
        <v>9324.01</v>
      </c>
      <c r="D16" s="9">
        <f>'Data &amp; Assumptions'!E16</f>
        <v>0.13</v>
      </c>
      <c r="E16" s="73">
        <f>'New rates &amp; Overrides'!F15</f>
        <v>0.81400199848136201</v>
      </c>
      <c r="F16" s="8">
        <f t="shared" si="0"/>
        <v>8251.3362831858412</v>
      </c>
      <c r="G16" s="8">
        <f t="shared" si="1"/>
        <v>1072.6737168141594</v>
      </c>
      <c r="H16" s="8">
        <f t="shared" si="2"/>
        <v>873.15854920515631</v>
      </c>
      <c r="J16" s="74">
        <f>'New rates &amp; Overrides'!C15</f>
        <v>0.23</v>
      </c>
      <c r="K16" s="13">
        <f>'New rates &amp; Overrides'!E15</f>
        <v>0.9</v>
      </c>
      <c r="L16" s="21">
        <f>E16*(1+'Data &amp; Assumptions'!$M$7)</f>
        <v>0.84656207842061648</v>
      </c>
      <c r="M16" s="8">
        <f t="shared" si="3"/>
        <v>8581.3897345132737</v>
      </c>
      <c r="N16" s="8">
        <f t="shared" si="4"/>
        <v>6976.7396215555073</v>
      </c>
      <c r="O16" s="8">
        <f t="shared" si="5"/>
        <v>1604.6501129577669</v>
      </c>
      <c r="P16" s="8">
        <f t="shared" si="6"/>
        <v>1358.435934763404</v>
      </c>
      <c r="R16" s="8">
        <f t="shared" si="7"/>
        <v>485.27738555824772</v>
      </c>
      <c r="S16" s="46">
        <f t="shared" si="8"/>
        <v>0.55577235772357714</v>
      </c>
    </row>
    <row r="17" spans="1:19">
      <c r="B17" t="str">
        <f>'Data &amp; Assumptions'!B17</f>
        <v>Rest of 23% products &amp; services</v>
      </c>
      <c r="C17" s="8">
        <f>'Data &amp; Assumptions'!D17*(1-islands)</f>
        <v>26181.0628</v>
      </c>
      <c r="D17" s="9">
        <f>'Data &amp; Assumptions'!E17</f>
        <v>0.23</v>
      </c>
      <c r="E17" s="73">
        <f>'New rates &amp; Overrides'!F16</f>
        <v>0.81400199848136201</v>
      </c>
      <c r="F17" s="8">
        <f t="shared" si="0"/>
        <v>21285.416910569107</v>
      </c>
      <c r="G17" s="8">
        <f t="shared" si="1"/>
        <v>4895.6458894308953</v>
      </c>
      <c r="H17" s="8">
        <f t="shared" si="2"/>
        <v>3985.065537853814</v>
      </c>
      <c r="J17" s="74">
        <f>'New rates &amp; Overrides'!C16</f>
        <v>0.23</v>
      </c>
      <c r="K17" s="13">
        <f>'New rates &amp; Overrides'!E16</f>
        <v>1.5</v>
      </c>
      <c r="L17" s="21">
        <f>E17*(1+'Data &amp; Assumptions'!$M$7)</f>
        <v>0.84656207842061648</v>
      </c>
      <c r="M17" s="8">
        <f t="shared" si="3"/>
        <v>26181.0628</v>
      </c>
      <c r="N17" s="8">
        <f t="shared" si="4"/>
        <v>21285.416910569107</v>
      </c>
      <c r="O17" s="8">
        <f t="shared" si="5"/>
        <v>4895.6458894308953</v>
      </c>
      <c r="P17" s="8">
        <f t="shared" si="6"/>
        <v>4144.4681593679661</v>
      </c>
      <c r="R17" s="8">
        <f t="shared" si="7"/>
        <v>159.40262151415209</v>
      </c>
      <c r="S17" s="46">
        <f t="shared" si="8"/>
        <v>3.9999999999999813E-2</v>
      </c>
    </row>
    <row r="18" spans="1:19">
      <c r="B18" t="str">
        <f>'Data &amp; Assumptions'!B18</f>
        <v>Products &amp; services where VAT not applied</v>
      </c>
      <c r="C18" s="8">
        <f>'Data &amp; Assumptions'!D18*(1-islands)</f>
        <v>32094.472999999998</v>
      </c>
      <c r="D18" s="9">
        <f>'Data &amp; Assumptions'!E18</f>
        <v>0</v>
      </c>
      <c r="E18" s="73">
        <f>'New rates &amp; Overrides'!F17</f>
        <v>0.81400199848136201</v>
      </c>
      <c r="F18" s="8">
        <f t="shared" si="0"/>
        <v>32094.472999999998</v>
      </c>
      <c r="G18" s="8">
        <f t="shared" si="1"/>
        <v>0</v>
      </c>
      <c r="H18" s="8">
        <f t="shared" si="2"/>
        <v>0</v>
      </c>
      <c r="J18" s="74">
        <f>'New rates &amp; Overrides'!C17</f>
        <v>0</v>
      </c>
      <c r="K18" s="13">
        <f>'New rates &amp; Overrides'!E17</f>
        <v>1</v>
      </c>
      <c r="L18" s="21">
        <f>E18*(1+'Data &amp; Assumptions'!$M$7)</f>
        <v>0.84656207842061648</v>
      </c>
      <c r="M18" s="8">
        <f t="shared" si="3"/>
        <v>32094.472999999998</v>
      </c>
      <c r="N18" s="8">
        <f t="shared" si="4"/>
        <v>32094.472999999998</v>
      </c>
      <c r="O18" s="8">
        <f t="shared" si="5"/>
        <v>0</v>
      </c>
      <c r="P18" s="8">
        <f t="shared" si="6"/>
        <v>0</v>
      </c>
      <c r="R18" s="8">
        <f t="shared" si="7"/>
        <v>0</v>
      </c>
      <c r="S18" s="46"/>
    </row>
    <row r="19" spans="1:19">
      <c r="A19" t="s">
        <v>86</v>
      </c>
      <c r="C19" s="8">
        <f>SUM(C4:C18)</f>
        <v>125758.6498</v>
      </c>
      <c r="D19" s="9">
        <f>SUMPRODUCT(F4:F17,D4:D17)/(F19-F18)</f>
        <v>0.16629134524651309</v>
      </c>
      <c r="E19" s="75"/>
      <c r="F19" s="8">
        <f>SUM(F4:F18)</f>
        <v>112403.88898062076</v>
      </c>
      <c r="G19" s="8">
        <f>SUM(G4:G18)</f>
        <v>13354.760819379244</v>
      </c>
      <c r="H19" s="8">
        <f>SUM(H4:H18)</f>
        <v>10870.801996215298</v>
      </c>
      <c r="J19" s="9">
        <f>SUMPRODUCT(J4:J17,N4:N17)/(N19-N18)</f>
        <v>0.16885543225611779</v>
      </c>
      <c r="L19" s="21"/>
      <c r="M19" s="8">
        <f>SUM(M4:M18)</f>
        <v>125245.49205687451</v>
      </c>
      <c r="N19" s="8">
        <f>SUM(N4:N18)</f>
        <v>111788.69051077886</v>
      </c>
      <c r="O19" s="8">
        <f>SUM(O4:O18)</f>
        <v>13456.801546095638</v>
      </c>
      <c r="P19" s="8">
        <f>SUM(P4:P18)</f>
        <v>11392.017885756486</v>
      </c>
      <c r="R19" s="8">
        <f>SUM(R4:R18)</f>
        <v>521.21588954118909</v>
      </c>
      <c r="S19" s="46">
        <f>P19/H19-1</f>
        <v>4.794640632058722E-2</v>
      </c>
    </row>
    <row r="20" spans="1:19">
      <c r="D20" s="9"/>
      <c r="E20" s="50"/>
      <c r="J20" s="9"/>
      <c r="R20" s="8"/>
      <c r="S20" s="8"/>
    </row>
    <row r="21" spans="1:19">
      <c r="A21" t="s">
        <v>87</v>
      </c>
      <c r="D21" s="9"/>
      <c r="E21" s="50"/>
      <c r="J21" s="9"/>
      <c r="R21" s="8"/>
      <c r="S21" s="8"/>
    </row>
    <row r="22" spans="1:19">
      <c r="B22" t="str">
        <f t="shared" ref="B22:B27" si="9">B4</f>
        <v>Bread &amp; milk</v>
      </c>
      <c r="C22" s="8">
        <f>'Data &amp; Assumptions'!D4*islands</f>
        <v>395.53380000000004</v>
      </c>
      <c r="D22" s="9">
        <f t="shared" ref="D22:D36" si="10">D4*0.7</f>
        <v>9.0999999999999998E-2</v>
      </c>
      <c r="E22" s="73">
        <f t="shared" ref="E22:E36" si="11">E4</f>
        <v>0.81400199848136201</v>
      </c>
      <c r="F22" s="8">
        <f t="shared" ref="F22:F36" si="12">C22/(1+D22)</f>
        <v>362.54243813015586</v>
      </c>
      <c r="G22" s="8">
        <f t="shared" ref="G22:G36" si="13">D22*F22</f>
        <v>32.991361869844184</v>
      </c>
      <c r="H22" s="8">
        <f t="shared" ref="H22:H36" si="14">G22*E22</f>
        <v>26.855034494674971</v>
      </c>
      <c r="J22" s="9">
        <f t="shared" ref="J22:L36" si="15">J4</f>
        <v>0.11</v>
      </c>
      <c r="K22">
        <f t="shared" si="15"/>
        <v>0.57199999999999995</v>
      </c>
      <c r="L22" s="66">
        <f t="shared" si="15"/>
        <v>0.84656207842061648</v>
      </c>
      <c r="M22" s="8">
        <f t="shared" ref="M22:M36" si="16">$C22*(-$K22)*(((1+J22)-(1+$D22))/(1+$D22))+$C22</f>
        <v>391.5936887824015</v>
      </c>
      <c r="N22" s="8">
        <f t="shared" ref="N22:N36" si="17">M22/(1+J22)</f>
        <v>352.78710701117251</v>
      </c>
      <c r="O22" s="8">
        <f t="shared" ref="O22:O36" si="18">N22*J22</f>
        <v>38.806581771228977</v>
      </c>
      <c r="P22" s="8">
        <f t="shared" ref="P22:P36" si="19">L22*O22</f>
        <v>32.85218052065121</v>
      </c>
      <c r="R22" s="8">
        <f t="shared" ref="R22:R36" si="20">P22-H22</f>
        <v>5.9971460259762388</v>
      </c>
      <c r="S22" s="46">
        <f t="shared" ref="S22:S35" si="21">P22/H22-1</f>
        <v>0.22331552123552112</v>
      </c>
    </row>
    <row r="23" spans="1:19">
      <c r="B23" t="str">
        <f t="shared" si="9"/>
        <v>Other food</v>
      </c>
      <c r="C23" s="8">
        <f>'Data &amp; Assumptions'!D5*islands</f>
        <v>782.41680000000008</v>
      </c>
      <c r="D23" s="9">
        <f t="shared" si="10"/>
        <v>9.0999999999999998E-2</v>
      </c>
      <c r="E23" s="73">
        <f t="shared" si="11"/>
        <v>0.81400199848136201</v>
      </c>
      <c r="F23" s="8">
        <f t="shared" si="12"/>
        <v>717.15563703024759</v>
      </c>
      <c r="G23" s="8">
        <f t="shared" si="13"/>
        <v>65.261162969752533</v>
      </c>
      <c r="H23" s="8">
        <f t="shared" si="14"/>
        <v>53.122717080596424</v>
      </c>
      <c r="J23" s="9">
        <f t="shared" si="15"/>
        <v>0.11</v>
      </c>
      <c r="K23">
        <f t="shared" si="15"/>
        <v>0.57199999999999995</v>
      </c>
      <c r="L23" s="66">
        <f t="shared" si="15"/>
        <v>0.84656207842061648</v>
      </c>
      <c r="M23" s="8">
        <f t="shared" si="16"/>
        <v>774.62275253675534</v>
      </c>
      <c r="N23" s="8">
        <f t="shared" si="17"/>
        <v>697.85833561869845</v>
      </c>
      <c r="O23" s="8">
        <f t="shared" si="18"/>
        <v>76.764416918056824</v>
      </c>
      <c r="P23" s="8">
        <f t="shared" si="19"/>
        <v>64.985844334896925</v>
      </c>
      <c r="R23" s="8">
        <f t="shared" si="20"/>
        <v>11.863127254300501</v>
      </c>
      <c r="S23" s="46">
        <f t="shared" si="21"/>
        <v>0.2233155212355209</v>
      </c>
    </row>
    <row r="24" spans="1:19">
      <c r="B24" t="str">
        <f t="shared" si="9"/>
        <v>Books</v>
      </c>
      <c r="C24" s="8">
        <f>'Data &amp; Assumptions'!D6*islands</f>
        <v>20.772600000000001</v>
      </c>
      <c r="D24" s="9">
        <f t="shared" si="10"/>
        <v>4.5499999999999999E-2</v>
      </c>
      <c r="E24" s="73">
        <f t="shared" si="11"/>
        <v>0.81400199848136201</v>
      </c>
      <c r="F24" s="8">
        <f t="shared" si="12"/>
        <v>19.868579626972739</v>
      </c>
      <c r="G24" s="8">
        <f t="shared" si="13"/>
        <v>0.90402037302725957</v>
      </c>
      <c r="H24" s="8">
        <f t="shared" si="14"/>
        <v>0.7358743903120557</v>
      </c>
      <c r="J24" s="9">
        <f t="shared" si="15"/>
        <v>0.06</v>
      </c>
      <c r="K24">
        <f t="shared" si="15"/>
        <v>1.3340000000000001</v>
      </c>
      <c r="L24" s="66">
        <f t="shared" si="15"/>
        <v>0.84656207842061648</v>
      </c>
      <c r="M24" s="8">
        <f t="shared" si="16"/>
        <v>20.388282064275469</v>
      </c>
      <c r="N24" s="8">
        <f t="shared" si="17"/>
        <v>19.234228362524025</v>
      </c>
      <c r="O24" s="8">
        <f t="shared" si="18"/>
        <v>1.1540537017514414</v>
      </c>
      <c r="P24" s="8">
        <f t="shared" si="19"/>
        <v>0.97697810036370647</v>
      </c>
      <c r="R24" s="8">
        <f t="shared" si="20"/>
        <v>0.24110371005165077</v>
      </c>
      <c r="S24" s="46">
        <f t="shared" si="21"/>
        <v>0.32764247978436645</v>
      </c>
    </row>
    <row r="25" spans="1:19">
      <c r="B25" t="str">
        <f t="shared" si="9"/>
        <v>Newspapers &amp; periodicals</v>
      </c>
      <c r="C25" s="8">
        <f>'Data &amp; Assumptions'!D7*islands</f>
        <v>24.831000000000003</v>
      </c>
      <c r="D25" s="9">
        <f t="shared" si="10"/>
        <v>4.5499999999999999E-2</v>
      </c>
      <c r="E25" s="73">
        <f t="shared" si="11"/>
        <v>0.81400199848136201</v>
      </c>
      <c r="F25" s="8">
        <f t="shared" si="12"/>
        <v>23.750358680057388</v>
      </c>
      <c r="G25" s="8">
        <f t="shared" si="13"/>
        <v>1.0806413199426113</v>
      </c>
      <c r="H25" s="8">
        <f t="shared" si="14"/>
        <v>0.87964419407482253</v>
      </c>
      <c r="J25" s="9">
        <f t="shared" si="15"/>
        <v>0.11</v>
      </c>
      <c r="K25">
        <f t="shared" si="15"/>
        <v>1.3340000000000001</v>
      </c>
      <c r="L25" s="66">
        <f t="shared" si="15"/>
        <v>0.84656207842061648</v>
      </c>
      <c r="M25" s="8">
        <f t="shared" si="16"/>
        <v>22.787447888091826</v>
      </c>
      <c r="N25" s="8">
        <f t="shared" si="17"/>
        <v>20.529232331614256</v>
      </c>
      <c r="O25" s="8">
        <f t="shared" si="18"/>
        <v>2.2582155564775683</v>
      </c>
      <c r="P25" s="8">
        <f t="shared" si="19"/>
        <v>1.9117196550134192</v>
      </c>
      <c r="R25" s="8">
        <f t="shared" si="20"/>
        <v>1.0320754609385967</v>
      </c>
      <c r="S25" s="46">
        <f t="shared" si="21"/>
        <v>1.1732874131274134</v>
      </c>
    </row>
    <row r="26" spans="1:19">
      <c r="B26" t="str">
        <f t="shared" si="9"/>
        <v>Pharmaceuticals</v>
      </c>
      <c r="C26" s="8">
        <f>'Data &amp; Assumptions'!D8*islands</f>
        <v>98.416200000000003</v>
      </c>
      <c r="D26" s="9">
        <f t="shared" si="10"/>
        <v>4.5499999999999999E-2</v>
      </c>
      <c r="E26" s="73">
        <f t="shared" si="11"/>
        <v>0.81400199848136201</v>
      </c>
      <c r="F26" s="8">
        <f t="shared" si="12"/>
        <v>94.133142037302719</v>
      </c>
      <c r="G26" s="8">
        <f t="shared" si="13"/>
        <v>4.2830579626972733</v>
      </c>
      <c r="H26" s="8">
        <f t="shared" si="14"/>
        <v>3.4864177412470916</v>
      </c>
      <c r="J26" s="9">
        <f t="shared" si="15"/>
        <v>0.06</v>
      </c>
      <c r="K26">
        <f t="shared" si="15"/>
        <v>0.72499999999999998</v>
      </c>
      <c r="L26" s="66">
        <f t="shared" si="15"/>
        <v>0.84656207842061648</v>
      </c>
      <c r="M26" s="8">
        <f t="shared" si="16"/>
        <v>97.426625344332862</v>
      </c>
      <c r="N26" s="8">
        <f t="shared" si="17"/>
        <v>91.911910702200814</v>
      </c>
      <c r="O26" s="8">
        <f t="shared" si="18"/>
        <v>5.5147146421320485</v>
      </c>
      <c r="P26" s="8">
        <f t="shared" si="19"/>
        <v>4.6685482893399133</v>
      </c>
      <c r="R26" s="8">
        <f t="shared" si="20"/>
        <v>1.1821305480928217</v>
      </c>
      <c r="S26" s="46">
        <f t="shared" si="21"/>
        <v>0.33906738544474413</v>
      </c>
    </row>
    <row r="27" spans="1:19">
      <c r="B27" t="str">
        <f t="shared" si="9"/>
        <v>Water, electricity &amp; gas</v>
      </c>
      <c r="C27" s="8">
        <f>'Data &amp; Assumptions'!D9*islands</f>
        <v>177.60840000000002</v>
      </c>
      <c r="D27" s="9">
        <f t="shared" si="10"/>
        <v>9.0999999999999998E-2</v>
      </c>
      <c r="E27" s="73">
        <f t="shared" si="11"/>
        <v>0.81400199848136201</v>
      </c>
      <c r="F27" s="8">
        <f t="shared" si="12"/>
        <v>162.79413382218149</v>
      </c>
      <c r="G27" s="8">
        <f t="shared" si="13"/>
        <v>14.814266177818515</v>
      </c>
      <c r="H27" s="8">
        <f t="shared" si="14"/>
        <v>12.058842274779121</v>
      </c>
      <c r="J27" s="9">
        <f t="shared" si="15"/>
        <v>0.11</v>
      </c>
      <c r="K27">
        <f t="shared" si="15"/>
        <v>0.26</v>
      </c>
      <c r="L27" s="66">
        <f t="shared" si="15"/>
        <v>0.84656207842061648</v>
      </c>
      <c r="M27" s="8">
        <f t="shared" si="16"/>
        <v>176.80419697891844</v>
      </c>
      <c r="N27" s="8">
        <f t="shared" si="17"/>
        <v>159.28306034136796</v>
      </c>
      <c r="O27" s="8">
        <f t="shared" si="18"/>
        <v>17.521136637550477</v>
      </c>
      <c r="P27" s="8">
        <f t="shared" si="19"/>
        <v>14.832729848176344</v>
      </c>
      <c r="R27" s="8">
        <f t="shared" si="20"/>
        <v>2.7738875733972232</v>
      </c>
      <c r="S27" s="46">
        <f t="shared" si="21"/>
        <v>0.23002934362934369</v>
      </c>
    </row>
    <row r="28" spans="1:19">
      <c r="B28" t="s">
        <v>16</v>
      </c>
      <c r="C28" s="8">
        <f>'Data &amp; Assumptions'!D10*islands</f>
        <v>64.400400000000005</v>
      </c>
      <c r="D28" s="9">
        <f t="shared" si="10"/>
        <v>0.161</v>
      </c>
      <c r="E28" s="73">
        <f t="shared" si="11"/>
        <v>0.81400199848136201</v>
      </c>
      <c r="F28" s="8">
        <f t="shared" si="12"/>
        <v>55.469767441860469</v>
      </c>
      <c r="G28" s="8">
        <f t="shared" si="13"/>
        <v>8.9306325581395356</v>
      </c>
      <c r="H28" s="8">
        <f t="shared" si="14"/>
        <v>7.2695527500283008</v>
      </c>
      <c r="J28" s="9">
        <f t="shared" si="15"/>
        <v>0.23</v>
      </c>
      <c r="K28">
        <f t="shared" si="15"/>
        <v>0.93899999999999995</v>
      </c>
      <c r="L28" s="66">
        <f t="shared" si="15"/>
        <v>0.84656207842061648</v>
      </c>
      <c r="M28" s="8">
        <f t="shared" si="16"/>
        <v>60.806458297674425</v>
      </c>
      <c r="N28" s="8">
        <f t="shared" si="17"/>
        <v>49.436144957458886</v>
      </c>
      <c r="O28" s="8">
        <f t="shared" si="18"/>
        <v>11.370313340215544</v>
      </c>
      <c r="P28" s="8">
        <f t="shared" si="19"/>
        <v>9.6256760935865326</v>
      </c>
      <c r="R28" s="8">
        <f t="shared" si="20"/>
        <v>2.3561233435582318</v>
      </c>
      <c r="S28" s="46">
        <f t="shared" si="21"/>
        <v>0.32410843205574924</v>
      </c>
    </row>
    <row r="29" spans="1:19">
      <c r="B29" t="s">
        <v>19</v>
      </c>
      <c r="C29" s="8">
        <f>'Data &amp; Assumptions'!D11*islands</f>
        <v>243.07680000000002</v>
      </c>
      <c r="D29" s="9">
        <f t="shared" si="10"/>
        <v>0.161</v>
      </c>
      <c r="E29" s="73">
        <f t="shared" si="11"/>
        <v>0.81400199848136201</v>
      </c>
      <c r="F29" s="8">
        <f t="shared" si="12"/>
        <v>209.36847545219641</v>
      </c>
      <c r="G29" s="8">
        <f t="shared" si="13"/>
        <v>33.70832454780362</v>
      </c>
      <c r="H29" s="8">
        <f t="shared" si="14"/>
        <v>27.4386435473705</v>
      </c>
      <c r="J29" s="9">
        <f t="shared" si="15"/>
        <v>0.23</v>
      </c>
      <c r="K29">
        <f t="shared" si="15"/>
        <v>1.17</v>
      </c>
      <c r="L29" s="66">
        <f t="shared" si="15"/>
        <v>0.84656207842061648</v>
      </c>
      <c r="M29" s="8">
        <f t="shared" si="16"/>
        <v>226.17448297674423</v>
      </c>
      <c r="N29" s="8">
        <f t="shared" si="17"/>
        <v>183.88169347702782</v>
      </c>
      <c r="O29" s="8">
        <f t="shared" si="18"/>
        <v>42.292789499716399</v>
      </c>
      <c r="P29" s="8">
        <f t="shared" si="19"/>
        <v>35.803471781085541</v>
      </c>
      <c r="R29" s="8">
        <f t="shared" si="20"/>
        <v>8.3648282337150413</v>
      </c>
      <c r="S29" s="46">
        <f t="shared" si="21"/>
        <v>0.30485574912892011</v>
      </c>
    </row>
    <row r="30" spans="1:19">
      <c r="B30" t="str">
        <f t="shared" ref="B30:B36" si="22">B12</f>
        <v>Fuel</v>
      </c>
      <c r="C30" s="8">
        <f>'Data &amp; Assumptions'!D12*islands</f>
        <v>262.35419999999999</v>
      </c>
      <c r="D30" s="9">
        <f t="shared" si="10"/>
        <v>0.161</v>
      </c>
      <c r="E30" s="73">
        <f t="shared" si="11"/>
        <v>0.81400199848136201</v>
      </c>
      <c r="F30" s="8">
        <f t="shared" si="12"/>
        <v>225.97260981912143</v>
      </c>
      <c r="G30" s="8">
        <f t="shared" si="13"/>
        <v>36.381590180878554</v>
      </c>
      <c r="H30" s="8">
        <f t="shared" si="14"/>
        <v>29.61468711516504</v>
      </c>
      <c r="J30" s="9">
        <f t="shared" si="15"/>
        <v>0.23</v>
      </c>
      <c r="K30">
        <f t="shared" si="15"/>
        <v>0.26</v>
      </c>
      <c r="L30" s="66">
        <f t="shared" si="15"/>
        <v>0.84656207842061648</v>
      </c>
      <c r="M30" s="8">
        <f t="shared" si="16"/>
        <v>258.30025137984495</v>
      </c>
      <c r="N30" s="8">
        <f t="shared" si="17"/>
        <v>210.00020437385768</v>
      </c>
      <c r="O30" s="8">
        <f t="shared" si="18"/>
        <v>48.300047005987267</v>
      </c>
      <c r="P30" s="8">
        <f t="shared" si="19"/>
        <v>40.888988181202052</v>
      </c>
      <c r="R30" s="8">
        <f t="shared" si="20"/>
        <v>11.274301066037012</v>
      </c>
      <c r="S30" s="46">
        <f t="shared" si="21"/>
        <v>0.38069965156794394</v>
      </c>
    </row>
    <row r="31" spans="1:19">
      <c r="B31" t="str">
        <f t="shared" si="22"/>
        <v>Hotels</v>
      </c>
      <c r="C31" s="8">
        <f>'Data &amp; Assumptions'!D13*islands</f>
        <v>207.08520000000001</v>
      </c>
      <c r="D31" s="9">
        <f t="shared" si="10"/>
        <v>4.5499999999999999E-2</v>
      </c>
      <c r="E31" s="73">
        <f t="shared" si="11"/>
        <v>0.81400199848136201</v>
      </c>
      <c r="F31" s="8">
        <f t="shared" si="12"/>
        <v>198.0728837876614</v>
      </c>
      <c r="G31" s="8">
        <f t="shared" si="13"/>
        <v>9.0123162123385931</v>
      </c>
      <c r="H31" s="8">
        <f t="shared" si="14"/>
        <v>7.3360434077895933</v>
      </c>
      <c r="J31" s="9">
        <f t="shared" si="15"/>
        <v>0.11</v>
      </c>
      <c r="K31">
        <f t="shared" si="15"/>
        <v>0.23699999999999999</v>
      </c>
      <c r="L31" s="66">
        <f t="shared" si="15"/>
        <v>0.84656207842061648</v>
      </c>
      <c r="M31" s="8">
        <f t="shared" si="16"/>
        <v>204.05735886197994</v>
      </c>
      <c r="N31" s="8">
        <f t="shared" si="17"/>
        <v>183.83545843421615</v>
      </c>
      <c r="O31" s="8">
        <f t="shared" si="18"/>
        <v>20.221900427763778</v>
      </c>
      <c r="P31" s="8">
        <f t="shared" si="19"/>
        <v>17.119094055742458</v>
      </c>
      <c r="R31" s="8">
        <f t="shared" si="20"/>
        <v>9.7830506479528658</v>
      </c>
      <c r="S31" s="46">
        <f t="shared" si="21"/>
        <v>1.3335595366795374</v>
      </c>
    </row>
    <row r="32" spans="1:19">
      <c r="B32" t="str">
        <f t="shared" si="22"/>
        <v>Restaurants</v>
      </c>
      <c r="C32" s="8">
        <f>'Data &amp; Assumptions'!D14*islands</f>
        <v>765.27539999999999</v>
      </c>
      <c r="D32" s="9">
        <f t="shared" si="10"/>
        <v>9.0999999999999998E-2</v>
      </c>
      <c r="E32" s="73">
        <f t="shared" si="11"/>
        <v>0.81400199848136201</v>
      </c>
      <c r="F32" s="8">
        <f t="shared" si="12"/>
        <v>701.44399633363889</v>
      </c>
      <c r="G32" s="8">
        <f t="shared" si="13"/>
        <v>63.83140366636114</v>
      </c>
      <c r="H32" s="8">
        <f t="shared" si="14"/>
        <v>51.958890150288504</v>
      </c>
      <c r="J32" s="9">
        <f t="shared" si="15"/>
        <v>0.11</v>
      </c>
      <c r="K32">
        <f t="shared" si="15"/>
        <v>0.23699999999999999</v>
      </c>
      <c r="L32" s="66">
        <f t="shared" si="15"/>
        <v>0.84656207842061648</v>
      </c>
      <c r="M32" s="8">
        <f t="shared" si="16"/>
        <v>762.11679768450961</v>
      </c>
      <c r="N32" s="8">
        <f t="shared" si="17"/>
        <v>686.5917096256843</v>
      </c>
      <c r="O32" s="8">
        <f t="shared" si="18"/>
        <v>75.525088058825276</v>
      </c>
      <c r="P32" s="8">
        <f t="shared" si="19"/>
        <v>63.936675519979211</v>
      </c>
      <c r="R32" s="8">
        <f t="shared" si="20"/>
        <v>11.977785369690707</v>
      </c>
      <c r="S32" s="46">
        <f t="shared" si="21"/>
        <v>0.2305242728442729</v>
      </c>
    </row>
    <row r="33" spans="1:19">
      <c r="B33" t="str">
        <f t="shared" si="22"/>
        <v>Tobacco</v>
      </c>
      <c r="C33" s="8">
        <f>'Data &amp; Assumptions'!D15*islands</f>
        <v>239.12520000000001</v>
      </c>
      <c r="D33" s="9">
        <f t="shared" si="10"/>
        <v>0.161</v>
      </c>
      <c r="E33" s="73">
        <f t="shared" si="11"/>
        <v>0.81400199848136201</v>
      </c>
      <c r="F33" s="8">
        <f t="shared" si="12"/>
        <v>205.96485788113696</v>
      </c>
      <c r="G33" s="8">
        <f t="shared" si="13"/>
        <v>33.160342118863049</v>
      </c>
      <c r="H33" s="8">
        <f t="shared" si="14"/>
        <v>26.992584755080205</v>
      </c>
      <c r="J33" s="9">
        <f t="shared" si="15"/>
        <v>0.23</v>
      </c>
      <c r="K33">
        <f t="shared" si="15"/>
        <v>1.516</v>
      </c>
      <c r="L33" s="66">
        <f t="shared" si="15"/>
        <v>0.84656207842061648</v>
      </c>
      <c r="M33" s="8">
        <f t="shared" si="16"/>
        <v>217.58045200620157</v>
      </c>
      <c r="N33" s="8">
        <f t="shared" si="17"/>
        <v>176.89467642780616</v>
      </c>
      <c r="O33" s="8">
        <f t="shared" si="18"/>
        <v>40.685775578395422</v>
      </c>
      <c r="P33" s="8">
        <f t="shared" si="19"/>
        <v>34.443034735801191</v>
      </c>
      <c r="R33" s="8">
        <f t="shared" si="20"/>
        <v>7.4504499807209861</v>
      </c>
      <c r="S33" s="46">
        <f t="shared" si="21"/>
        <v>0.27601839721254384</v>
      </c>
    </row>
    <row r="34" spans="1:19">
      <c r="B34" t="str">
        <f t="shared" si="22"/>
        <v>Rest of 13% products &amp; services</v>
      </c>
      <c r="C34" s="8">
        <f>'Data &amp; Assumptions'!D16*islands</f>
        <v>525.99</v>
      </c>
      <c r="D34" s="9">
        <f t="shared" si="10"/>
        <v>9.0999999999999998E-2</v>
      </c>
      <c r="E34" s="73">
        <f t="shared" si="11"/>
        <v>0.81400199848136201</v>
      </c>
      <c r="F34" s="8">
        <f t="shared" si="12"/>
        <v>482.11732355637031</v>
      </c>
      <c r="G34" s="8">
        <f t="shared" si="13"/>
        <v>43.8726764436297</v>
      </c>
      <c r="H34" s="8">
        <f t="shared" si="14"/>
        <v>35.71244630384075</v>
      </c>
      <c r="J34" s="9">
        <f t="shared" si="15"/>
        <v>0.23</v>
      </c>
      <c r="K34">
        <f t="shared" si="15"/>
        <v>0.9</v>
      </c>
      <c r="L34" s="66">
        <f t="shared" si="15"/>
        <v>0.84656207842061648</v>
      </c>
      <c r="M34" s="8">
        <f t="shared" si="16"/>
        <v>465.6771228230981</v>
      </c>
      <c r="N34" s="8">
        <f t="shared" si="17"/>
        <v>378.59928684804726</v>
      </c>
      <c r="O34" s="8">
        <f t="shared" si="18"/>
        <v>87.077835975050874</v>
      </c>
      <c r="P34" s="8">
        <f t="shared" si="19"/>
        <v>73.716793807408592</v>
      </c>
      <c r="R34" s="8">
        <f t="shared" si="20"/>
        <v>38.004347503567843</v>
      </c>
      <c r="S34" s="46">
        <f t="shared" si="21"/>
        <v>1.0641765389082463</v>
      </c>
    </row>
    <row r="35" spans="1:19">
      <c r="B35" t="str">
        <f t="shared" si="22"/>
        <v>Rest of 23% products &amp; services</v>
      </c>
      <c r="C35" s="8">
        <f>'Data &amp; Assumptions'!D17*islands</f>
        <v>1476.9372000000001</v>
      </c>
      <c r="D35" s="9">
        <f t="shared" si="10"/>
        <v>0.161</v>
      </c>
      <c r="E35" s="73">
        <f t="shared" si="11"/>
        <v>0.81400199848136201</v>
      </c>
      <c r="F35" s="8">
        <f t="shared" si="12"/>
        <v>1272.1250645994833</v>
      </c>
      <c r="G35" s="8">
        <f t="shared" si="13"/>
        <v>204.81213540051681</v>
      </c>
      <c r="H35" s="8">
        <f t="shared" si="14"/>
        <v>166.717487529256</v>
      </c>
      <c r="J35" s="9">
        <f t="shared" si="15"/>
        <v>0.23</v>
      </c>
      <c r="K35">
        <f t="shared" si="15"/>
        <v>1.5</v>
      </c>
      <c r="L35" s="66">
        <f t="shared" si="15"/>
        <v>0.84656207842061648</v>
      </c>
      <c r="M35" s="8">
        <f t="shared" si="16"/>
        <v>1345.2722558139537</v>
      </c>
      <c r="N35" s="8">
        <f t="shared" si="17"/>
        <v>1093.7172811495559</v>
      </c>
      <c r="O35" s="8">
        <f t="shared" si="18"/>
        <v>251.55497466439786</v>
      </c>
      <c r="P35" s="8">
        <f t="shared" si="19"/>
        <v>212.95690218893819</v>
      </c>
      <c r="R35" s="8">
        <f t="shared" si="20"/>
        <v>46.239414659682183</v>
      </c>
      <c r="S35" s="46">
        <f t="shared" si="21"/>
        <v>0.27735191637630674</v>
      </c>
    </row>
    <row r="36" spans="1:19">
      <c r="B36" t="str">
        <f t="shared" si="22"/>
        <v>Products &amp; services where VAT not applied</v>
      </c>
      <c r="C36" s="8">
        <f>'Data &amp; Assumptions'!D18*islands</f>
        <v>1810.527</v>
      </c>
      <c r="D36" s="9">
        <f t="shared" si="10"/>
        <v>0</v>
      </c>
      <c r="E36" s="73">
        <f t="shared" si="11"/>
        <v>0.81400199848136201</v>
      </c>
      <c r="F36" s="8">
        <f t="shared" si="12"/>
        <v>1810.527</v>
      </c>
      <c r="G36" s="8">
        <f t="shared" si="13"/>
        <v>0</v>
      </c>
      <c r="H36" s="8">
        <f t="shared" si="14"/>
        <v>0</v>
      </c>
      <c r="J36" s="9">
        <f t="shared" si="15"/>
        <v>0</v>
      </c>
      <c r="K36">
        <f t="shared" si="15"/>
        <v>1</v>
      </c>
      <c r="L36" s="66">
        <f t="shared" si="15"/>
        <v>0.84656207842061648</v>
      </c>
      <c r="M36" s="8">
        <f t="shared" si="16"/>
        <v>1810.527</v>
      </c>
      <c r="N36" s="8">
        <f t="shared" si="17"/>
        <v>1810.527</v>
      </c>
      <c r="O36" s="8">
        <f t="shared" si="18"/>
        <v>0</v>
      </c>
      <c r="P36" s="8">
        <f t="shared" si="19"/>
        <v>0</v>
      </c>
      <c r="R36" s="8">
        <f t="shared" si="20"/>
        <v>0</v>
      </c>
      <c r="S36" s="46"/>
    </row>
    <row r="37" spans="1:19">
      <c r="A37" t="s">
        <v>88</v>
      </c>
      <c r="C37" s="8">
        <f>SUM(C22:C36)</f>
        <v>7094.3502000000008</v>
      </c>
      <c r="D37" s="9">
        <f>SUMPRODUCT(F22:F35,D22:D35)/(F37-F36)</f>
        <v>0.11690334730248955</v>
      </c>
      <c r="E37" s="73"/>
      <c r="F37" s="8">
        <f>SUM(F22:F36)</f>
        <v>6541.3062681983865</v>
      </c>
      <c r="G37" s="8">
        <f>SUM(G22:G36)</f>
        <v>553.04393180161333</v>
      </c>
      <c r="H37" s="8">
        <f>SUM(H22:H36)</f>
        <v>450.17886573450335</v>
      </c>
      <c r="J37" s="9">
        <f>SUMPRODUCT(J22:J35,N22:N35)/(N37-N36)</f>
        <v>0.16704327241573091</v>
      </c>
      <c r="M37" s="8">
        <f>SUM(M22:M36)</f>
        <v>6834.1351734387817</v>
      </c>
      <c r="N37" s="8">
        <f>SUM(N22:N36)</f>
        <v>6115.0873296612326</v>
      </c>
      <c r="O37" s="8">
        <f>SUM(O22:O36)</f>
        <v>719.0478437775497</v>
      </c>
      <c r="P37" s="8">
        <f>SUM(P22:P36)</f>
        <v>608.71863711218521</v>
      </c>
      <c r="R37" s="8">
        <f>SUM(R22:R36)</f>
        <v>158.53977137768192</v>
      </c>
      <c r="S37" s="46">
        <f>P37/H37-1</f>
        <v>0.35217062249026587</v>
      </c>
    </row>
    <row r="38" spans="1:19">
      <c r="D38" s="9"/>
      <c r="O38" s="46"/>
      <c r="R38" s="8"/>
      <c r="S38" s="8"/>
    </row>
    <row r="39" spans="1:19">
      <c r="A39" s="7" t="s">
        <v>89</v>
      </c>
    </row>
    <row r="40" spans="1:19">
      <c r="A40" s="7"/>
      <c r="B40" t="str">
        <f t="shared" ref="B40:B45" si="23">B22</f>
        <v>Bread &amp; milk</v>
      </c>
      <c r="C40" s="30">
        <f t="shared" ref="C40:C54" si="24">C4+C22</f>
        <v>7407</v>
      </c>
      <c r="D40" s="46">
        <f t="shared" ref="D40:D54" si="25">G40/F40</f>
        <v>0.12784706297584467</v>
      </c>
      <c r="F40" s="30">
        <f t="shared" ref="F40:H54" si="26">F4+F22</f>
        <v>6567.3797832628989</v>
      </c>
      <c r="G40" s="30">
        <f t="shared" si="26"/>
        <v>839.62021673710092</v>
      </c>
      <c r="H40" s="30">
        <f t="shared" si="26"/>
        <v>683.45253438935447</v>
      </c>
      <c r="J40" s="9">
        <f t="shared" ref="J40:J54" si="27">O40/N40</f>
        <v>0.10999999999999999</v>
      </c>
      <c r="L40" s="21">
        <f t="shared" ref="L40:L53" si="28">P40/O40</f>
        <v>0.84656207842061648</v>
      </c>
      <c r="M40" s="30">
        <f t="shared" ref="M40:P54" si="29">M4+M22</f>
        <v>7474.0432280107198</v>
      </c>
      <c r="N40" s="30">
        <f t="shared" si="29"/>
        <v>6733.3722774871339</v>
      </c>
      <c r="O40" s="30">
        <f t="shared" si="29"/>
        <v>740.67095052358468</v>
      </c>
      <c r="P40" s="30">
        <f t="shared" si="29"/>
        <v>627.02393930101948</v>
      </c>
      <c r="R40" s="30">
        <f t="shared" ref="R40:R54" si="30">R4+R22</f>
        <v>-56.428595088334987</v>
      </c>
      <c r="S40" s="46">
        <f t="shared" ref="S40:S53" si="31">P40/H40-1</f>
        <v>-8.2564029320269294E-2</v>
      </c>
    </row>
    <row r="41" spans="1:19">
      <c r="B41" t="str">
        <f t="shared" si="23"/>
        <v>Other food</v>
      </c>
      <c r="C41" s="30">
        <f t="shared" si="24"/>
        <v>14652</v>
      </c>
      <c r="D41" s="46">
        <f t="shared" si="25"/>
        <v>0.12784706297584464</v>
      </c>
      <c r="F41" s="30">
        <f t="shared" si="26"/>
        <v>12991.123070658567</v>
      </c>
      <c r="G41" s="30">
        <f t="shared" si="26"/>
        <v>1660.8769293414341</v>
      </c>
      <c r="H41" s="30">
        <f t="shared" si="26"/>
        <v>1351.9571397155153</v>
      </c>
      <c r="J41" s="9">
        <f t="shared" si="27"/>
        <v>0.11</v>
      </c>
      <c r="L41" s="21">
        <f t="shared" si="28"/>
        <v>0.84656207842061637</v>
      </c>
      <c r="M41" s="30">
        <f t="shared" si="29"/>
        <v>14784.620139977462</v>
      </c>
      <c r="N41" s="30">
        <f t="shared" si="29"/>
        <v>13319.477603583298</v>
      </c>
      <c r="O41" s="30">
        <f t="shared" si="29"/>
        <v>1465.1425363941628</v>
      </c>
      <c r="P41" s="30">
        <f t="shared" si="29"/>
        <v>1240.3341107922961</v>
      </c>
      <c r="R41" s="30">
        <f t="shared" si="30"/>
        <v>-111.62302892321915</v>
      </c>
      <c r="S41" s="46">
        <f t="shared" si="31"/>
        <v>-8.2564029320269294E-2</v>
      </c>
    </row>
    <row r="42" spans="1:19">
      <c r="B42" t="str">
        <f t="shared" si="23"/>
        <v>Books</v>
      </c>
      <c r="C42" s="30">
        <f t="shared" si="24"/>
        <v>389</v>
      </c>
      <c r="D42" s="46">
        <f t="shared" si="25"/>
        <v>6.3940333745070549E-2</v>
      </c>
      <c r="F42" s="30">
        <f t="shared" si="26"/>
        <v>365.6220068570197</v>
      </c>
      <c r="G42" s="30">
        <f t="shared" si="26"/>
        <v>23.377993142980312</v>
      </c>
      <c r="H42" s="30">
        <f t="shared" si="26"/>
        <v>19.029733138869553</v>
      </c>
      <c r="J42" s="9">
        <f t="shared" si="27"/>
        <v>5.9999999999999991E-2</v>
      </c>
      <c r="L42" s="21">
        <f t="shared" si="28"/>
        <v>0.84656207842061648</v>
      </c>
      <c r="M42" s="30">
        <f t="shared" si="29"/>
        <v>390.92185742389984</v>
      </c>
      <c r="N42" s="30">
        <f t="shared" si="29"/>
        <v>368.79420511688664</v>
      </c>
      <c r="O42" s="30">
        <f t="shared" si="29"/>
        <v>22.127652307013197</v>
      </c>
      <c r="P42" s="30">
        <f t="shared" si="29"/>
        <v>18.73243132759384</v>
      </c>
      <c r="R42" s="30">
        <f t="shared" si="30"/>
        <v>-0.29730181127571187</v>
      </c>
      <c r="S42" s="46">
        <f t="shared" si="31"/>
        <v>-1.5623015262807516E-2</v>
      </c>
    </row>
    <row r="43" spans="1:19">
      <c r="B43" t="str">
        <f t="shared" si="23"/>
        <v>Newspapers &amp; periodicals</v>
      </c>
      <c r="C43" s="30">
        <f t="shared" si="24"/>
        <v>465</v>
      </c>
      <c r="D43" s="46">
        <f t="shared" si="25"/>
        <v>6.3940333745070549E-2</v>
      </c>
      <c r="F43" s="30">
        <f t="shared" si="26"/>
        <v>437.05458403217006</v>
      </c>
      <c r="G43" s="30">
        <f t="shared" si="26"/>
        <v>27.945415967829934</v>
      </c>
      <c r="H43" s="30">
        <f t="shared" si="26"/>
        <v>22.74762444620653</v>
      </c>
      <c r="J43" s="9">
        <f t="shared" si="27"/>
        <v>0.11</v>
      </c>
      <c r="L43" s="21">
        <f t="shared" si="28"/>
        <v>0.84656207842061648</v>
      </c>
      <c r="M43" s="30">
        <f t="shared" si="29"/>
        <v>438.14579524020439</v>
      </c>
      <c r="N43" s="30">
        <f t="shared" si="29"/>
        <v>394.72594165784176</v>
      </c>
      <c r="O43" s="30">
        <f t="shared" si="29"/>
        <v>43.419853582362592</v>
      </c>
      <c r="P43" s="30">
        <f t="shared" si="29"/>
        <v>36.757601493403726</v>
      </c>
      <c r="R43" s="30">
        <f t="shared" si="30"/>
        <v>14.009977047197193</v>
      </c>
      <c r="S43" s="46">
        <f t="shared" si="31"/>
        <v>0.6158874778475405</v>
      </c>
    </row>
    <row r="44" spans="1:19">
      <c r="B44" t="str">
        <f t="shared" si="23"/>
        <v>Pharmaceuticals</v>
      </c>
      <c r="C44" s="30">
        <f t="shared" si="24"/>
        <v>1843</v>
      </c>
      <c r="D44" s="46">
        <f t="shared" si="25"/>
        <v>6.3940333745070549E-2</v>
      </c>
      <c r="F44" s="30">
        <f t="shared" si="26"/>
        <v>1732.2399964973965</v>
      </c>
      <c r="G44" s="30">
        <f t="shared" si="26"/>
        <v>110.76000350260338</v>
      </c>
      <c r="H44" s="30">
        <f t="shared" si="26"/>
        <v>90.158864202921819</v>
      </c>
      <c r="J44" s="9">
        <f t="shared" si="27"/>
        <v>5.9999999999999991E-2</v>
      </c>
      <c r="L44" s="21">
        <f t="shared" si="28"/>
        <v>0.84656207842061648</v>
      </c>
      <c r="M44" s="30">
        <f t="shared" si="29"/>
        <v>1847.9485626917506</v>
      </c>
      <c r="N44" s="30">
        <f t="shared" si="29"/>
        <v>1743.3477006525948</v>
      </c>
      <c r="O44" s="30">
        <f t="shared" si="29"/>
        <v>104.60086203915567</v>
      </c>
      <c r="P44" s="30">
        <f t="shared" si="29"/>
        <v>88.551123172455789</v>
      </c>
      <c r="R44" s="30">
        <f t="shared" si="30"/>
        <v>-1.6077410304660233</v>
      </c>
      <c r="S44" s="46">
        <f t="shared" si="31"/>
        <v>-1.7832312381924731E-2</v>
      </c>
    </row>
    <row r="45" spans="1:19">
      <c r="B45" t="str">
        <f t="shared" si="23"/>
        <v>Water, electricity &amp; gas</v>
      </c>
      <c r="C45" s="30">
        <f t="shared" si="24"/>
        <v>3326</v>
      </c>
      <c r="D45" s="46">
        <f t="shared" si="25"/>
        <v>0.12784706297584464</v>
      </c>
      <c r="F45" s="30">
        <f t="shared" si="26"/>
        <v>2948.9813904593502</v>
      </c>
      <c r="G45" s="30">
        <f t="shared" si="26"/>
        <v>377.01860954065046</v>
      </c>
      <c r="H45" s="30">
        <f t="shared" si="26"/>
        <v>306.89390163075376</v>
      </c>
      <c r="J45" s="9">
        <f t="shared" si="27"/>
        <v>0.10999999999999999</v>
      </c>
      <c r="L45" s="21">
        <f t="shared" si="28"/>
        <v>0.8465620784206167</v>
      </c>
      <c r="M45" s="30">
        <f t="shared" si="29"/>
        <v>3339.6839707134313</v>
      </c>
      <c r="N45" s="30">
        <f t="shared" si="29"/>
        <v>3008.7242979400285</v>
      </c>
      <c r="O45" s="30">
        <f t="shared" si="29"/>
        <v>330.9596727734031</v>
      </c>
      <c r="P45" s="30">
        <f t="shared" si="29"/>
        <v>280.17790845645931</v>
      </c>
      <c r="R45" s="30">
        <f t="shared" si="30"/>
        <v>-26.715993174294475</v>
      </c>
      <c r="S45" s="46">
        <f t="shared" si="31"/>
        <v>-8.7052864303697963E-2</v>
      </c>
    </row>
    <row r="46" spans="1:19">
      <c r="B46" t="s">
        <v>16</v>
      </c>
      <c r="C46" s="30">
        <f t="shared" si="24"/>
        <v>1206</v>
      </c>
      <c r="D46" s="46">
        <f t="shared" si="25"/>
        <v>0.2261087679874878</v>
      </c>
      <c r="F46" s="30">
        <f t="shared" si="26"/>
        <v>983.5995235394214</v>
      </c>
      <c r="G46" s="30">
        <f t="shared" si="26"/>
        <v>222.40047646057857</v>
      </c>
      <c r="H46" s="30">
        <f t="shared" si="26"/>
        <v>181.03443230211809</v>
      </c>
      <c r="J46" s="9">
        <f t="shared" si="27"/>
        <v>0.23000000000000004</v>
      </c>
      <c r="L46" s="21">
        <f t="shared" si="28"/>
        <v>0.84656207842061648</v>
      </c>
      <c r="M46" s="30">
        <f t="shared" si="29"/>
        <v>1202.4060582976745</v>
      </c>
      <c r="N46" s="30">
        <f t="shared" si="29"/>
        <v>977.56590105501982</v>
      </c>
      <c r="O46" s="30">
        <f t="shared" si="29"/>
        <v>224.84015724265458</v>
      </c>
      <c r="P46" s="30">
        <f t="shared" si="29"/>
        <v>190.34115082775989</v>
      </c>
      <c r="R46" s="30">
        <f t="shared" si="30"/>
        <v>9.3067185256418199</v>
      </c>
      <c r="S46" s="46">
        <f t="shared" si="31"/>
        <v>5.1408554755541402E-2</v>
      </c>
    </row>
    <row r="47" spans="1:19">
      <c r="B47" t="s">
        <v>19</v>
      </c>
      <c r="C47" s="30">
        <f t="shared" si="24"/>
        <v>4552</v>
      </c>
      <c r="D47" s="46">
        <f t="shared" si="25"/>
        <v>0.22610876798748777</v>
      </c>
      <c r="F47" s="30">
        <f t="shared" si="26"/>
        <v>3712.5580689481317</v>
      </c>
      <c r="G47" s="30">
        <f t="shared" si="26"/>
        <v>839.44193105186878</v>
      </c>
      <c r="H47" s="30">
        <f t="shared" si="26"/>
        <v>683.30740948527489</v>
      </c>
      <c r="J47" s="9">
        <f t="shared" si="27"/>
        <v>0.23</v>
      </c>
      <c r="L47" s="21">
        <f t="shared" si="28"/>
        <v>0.84656207842061659</v>
      </c>
      <c r="M47" s="30">
        <f t="shared" si="29"/>
        <v>4535.0976829767442</v>
      </c>
      <c r="N47" s="30">
        <f t="shared" si="29"/>
        <v>3687.0712869729632</v>
      </c>
      <c r="O47" s="30">
        <f t="shared" si="29"/>
        <v>848.02639600378154</v>
      </c>
      <c r="P47" s="30">
        <f t="shared" si="29"/>
        <v>717.90698835650619</v>
      </c>
      <c r="R47" s="30">
        <f t="shared" si="30"/>
        <v>34.59957887123123</v>
      </c>
      <c r="S47" s="46">
        <f t="shared" si="31"/>
        <v>5.0635451029712453E-2</v>
      </c>
    </row>
    <row r="48" spans="1:19">
      <c r="B48" t="str">
        <f t="shared" ref="B48:B54" si="32">B30</f>
        <v>Fuel</v>
      </c>
      <c r="C48" s="30">
        <f t="shared" si="24"/>
        <v>4913</v>
      </c>
      <c r="D48" s="46">
        <f t="shared" si="25"/>
        <v>0.2261087679874878</v>
      </c>
      <c r="F48" s="30">
        <f t="shared" si="26"/>
        <v>4006.985455347577</v>
      </c>
      <c r="G48" s="30">
        <f t="shared" si="26"/>
        <v>906.01454465242341</v>
      </c>
      <c r="H48" s="30">
        <f t="shared" si="26"/>
        <v>737.49765000025377</v>
      </c>
      <c r="J48" s="9">
        <f t="shared" si="27"/>
        <v>0.23</v>
      </c>
      <c r="L48" s="21">
        <f t="shared" si="28"/>
        <v>0.84656207842061648</v>
      </c>
      <c r="M48" s="30">
        <f t="shared" si="29"/>
        <v>4908.9460513798449</v>
      </c>
      <c r="N48" s="30">
        <f t="shared" si="29"/>
        <v>3991.0130499023135</v>
      </c>
      <c r="O48" s="30">
        <f t="shared" si="29"/>
        <v>917.93300147753212</v>
      </c>
      <c r="P48" s="30">
        <f t="shared" si="29"/>
        <v>777.08726958169439</v>
      </c>
      <c r="R48" s="30">
        <f t="shared" si="30"/>
        <v>39.589619581440544</v>
      </c>
      <c r="S48" s="46">
        <f t="shared" si="31"/>
        <v>5.3681011161767156E-2</v>
      </c>
    </row>
    <row r="49" spans="1:19">
      <c r="B49" t="str">
        <f t="shared" si="32"/>
        <v>Hotels</v>
      </c>
      <c r="C49" s="30">
        <f t="shared" si="24"/>
        <v>3878</v>
      </c>
      <c r="D49" s="46">
        <f t="shared" si="25"/>
        <v>6.3940333745070549E-2</v>
      </c>
      <c r="F49" s="30">
        <f t="shared" si="26"/>
        <v>3644.9412405951734</v>
      </c>
      <c r="G49" s="30">
        <f t="shared" si="26"/>
        <v>233.05875940482687</v>
      </c>
      <c r="H49" s="30">
        <f t="shared" si="26"/>
        <v>189.71029591911599</v>
      </c>
      <c r="J49" s="9">
        <f t="shared" si="27"/>
        <v>0.11000000000000001</v>
      </c>
      <c r="L49" s="21">
        <f t="shared" si="28"/>
        <v>0.84656207842061637</v>
      </c>
      <c r="M49" s="30">
        <f t="shared" si="29"/>
        <v>3838.2113078366278</v>
      </c>
      <c r="N49" s="30">
        <f t="shared" si="29"/>
        <v>3457.8480250780426</v>
      </c>
      <c r="O49" s="30">
        <f t="shared" si="29"/>
        <v>380.36328275858472</v>
      </c>
      <c r="P49" s="30">
        <f t="shared" si="29"/>
        <v>322.00113120699609</v>
      </c>
      <c r="R49" s="30">
        <f t="shared" si="30"/>
        <v>132.29083528788013</v>
      </c>
      <c r="S49" s="46">
        <f t="shared" si="31"/>
        <v>0.69733081510917572</v>
      </c>
    </row>
    <row r="50" spans="1:19">
      <c r="B50" t="str">
        <f t="shared" si="32"/>
        <v>Restaurants</v>
      </c>
      <c r="C50" s="30">
        <f t="shared" si="24"/>
        <v>14331</v>
      </c>
      <c r="D50" s="46">
        <f t="shared" si="25"/>
        <v>0.12784706297584464</v>
      </c>
      <c r="F50" s="30">
        <f t="shared" si="26"/>
        <v>12706.510014032754</v>
      </c>
      <c r="G50" s="30">
        <f t="shared" si="26"/>
        <v>1624.4899859672462</v>
      </c>
      <c r="H50" s="30">
        <f t="shared" si="26"/>
        <v>1322.3380950902979</v>
      </c>
      <c r="J50" s="9">
        <f t="shared" si="27"/>
        <v>0.11</v>
      </c>
      <c r="L50" s="21">
        <f t="shared" si="28"/>
        <v>0.84656207842061637</v>
      </c>
      <c r="M50" s="30">
        <f t="shared" si="29"/>
        <v>14384.745410608402</v>
      </c>
      <c r="N50" s="30">
        <f t="shared" si="29"/>
        <v>12959.230099647208</v>
      </c>
      <c r="O50" s="30">
        <f t="shared" si="29"/>
        <v>1425.5153109611929</v>
      </c>
      <c r="P50" s="30">
        <f t="shared" si="29"/>
        <v>1206.7872044677188</v>
      </c>
      <c r="R50" s="30">
        <f t="shared" si="30"/>
        <v>-115.55089062257917</v>
      </c>
      <c r="S50" s="46">
        <f t="shared" si="31"/>
        <v>-8.7383772010809824E-2</v>
      </c>
    </row>
    <row r="51" spans="1:19">
      <c r="B51" t="str">
        <f t="shared" si="32"/>
        <v>Tobacco</v>
      </c>
      <c r="C51" s="30">
        <f t="shared" si="24"/>
        <v>4478</v>
      </c>
      <c r="D51" s="46">
        <f t="shared" si="25"/>
        <v>0.22610876798748777</v>
      </c>
      <c r="F51" s="30">
        <f t="shared" si="26"/>
        <v>3652.2045326778848</v>
      </c>
      <c r="G51" s="30">
        <f t="shared" si="26"/>
        <v>825.79546732211509</v>
      </c>
      <c r="H51" s="30">
        <f t="shared" si="26"/>
        <v>672.19916073705201</v>
      </c>
      <c r="J51" s="9">
        <f t="shared" si="27"/>
        <v>0.23000000000000004</v>
      </c>
      <c r="L51" s="21">
        <f t="shared" si="28"/>
        <v>0.84656207842061648</v>
      </c>
      <c r="M51" s="30">
        <f t="shared" si="29"/>
        <v>4456.4552520062016</v>
      </c>
      <c r="N51" s="30">
        <f t="shared" si="29"/>
        <v>3623.1343512245539</v>
      </c>
      <c r="O51" s="30">
        <f t="shared" si="29"/>
        <v>833.32090078164754</v>
      </c>
      <c r="P51" s="30">
        <f t="shared" si="29"/>
        <v>705.45787375705186</v>
      </c>
      <c r="R51" s="30">
        <f t="shared" si="30"/>
        <v>33.258713019999803</v>
      </c>
      <c r="S51" s="46">
        <f t="shared" si="31"/>
        <v>4.947746882565629E-2</v>
      </c>
    </row>
    <row r="52" spans="1:19">
      <c r="B52" t="str">
        <f t="shared" si="32"/>
        <v>Rest of 13% products &amp; services</v>
      </c>
      <c r="C52" s="30">
        <f t="shared" si="24"/>
        <v>9850</v>
      </c>
      <c r="D52" s="46">
        <f t="shared" si="25"/>
        <v>0.12784706297584464</v>
      </c>
      <c r="F52" s="30">
        <f t="shared" si="26"/>
        <v>8733.4536067422123</v>
      </c>
      <c r="G52" s="30">
        <f t="shared" si="26"/>
        <v>1116.5463932577891</v>
      </c>
      <c r="H52" s="30">
        <f t="shared" si="26"/>
        <v>908.87099550899711</v>
      </c>
      <c r="J52" s="9">
        <f t="shared" si="27"/>
        <v>0.23000000000000004</v>
      </c>
      <c r="L52" s="21">
        <f t="shared" si="28"/>
        <v>0.84656207842061637</v>
      </c>
      <c r="M52" s="30">
        <f t="shared" si="29"/>
        <v>9047.066857336371</v>
      </c>
      <c r="N52" s="30">
        <f t="shared" si="29"/>
        <v>7355.3389084035543</v>
      </c>
      <c r="O52" s="30">
        <f t="shared" si="29"/>
        <v>1691.7279489328178</v>
      </c>
      <c r="P52" s="30">
        <f t="shared" si="29"/>
        <v>1432.1527285708125</v>
      </c>
      <c r="R52" s="30">
        <f t="shared" si="30"/>
        <v>523.28173306181554</v>
      </c>
      <c r="S52" s="46">
        <f t="shared" si="31"/>
        <v>0.57574918293961042</v>
      </c>
    </row>
    <row r="53" spans="1:19">
      <c r="B53" t="str">
        <f t="shared" si="32"/>
        <v>Rest of 23% products &amp; services</v>
      </c>
      <c r="C53" s="30">
        <f t="shared" si="24"/>
        <v>27658</v>
      </c>
      <c r="D53" s="46">
        <f t="shared" si="25"/>
        <v>0.2261087679874878</v>
      </c>
      <c r="F53" s="30">
        <f t="shared" si="26"/>
        <v>22557.541975168591</v>
      </c>
      <c r="G53" s="30">
        <f t="shared" si="26"/>
        <v>5100.4580248314123</v>
      </c>
      <c r="H53" s="30">
        <f t="shared" si="26"/>
        <v>4151.7830253830698</v>
      </c>
      <c r="J53" s="9">
        <f t="shared" si="27"/>
        <v>0.23000000000000007</v>
      </c>
      <c r="L53" s="21">
        <f t="shared" si="28"/>
        <v>0.84656207842061637</v>
      </c>
      <c r="M53" s="30">
        <f t="shared" si="29"/>
        <v>27526.335055813954</v>
      </c>
      <c r="N53" s="30">
        <f t="shared" si="29"/>
        <v>22379.134191718662</v>
      </c>
      <c r="O53" s="30">
        <f t="shared" si="29"/>
        <v>5147.2008640952936</v>
      </c>
      <c r="P53" s="30">
        <f t="shared" si="29"/>
        <v>4357.4250615569044</v>
      </c>
      <c r="R53" s="30">
        <f t="shared" si="30"/>
        <v>205.64203617383427</v>
      </c>
      <c r="S53" s="46">
        <f t="shared" si="31"/>
        <v>4.953101713567043E-2</v>
      </c>
    </row>
    <row r="54" spans="1:19">
      <c r="B54" t="str">
        <f t="shared" si="32"/>
        <v>Products &amp; services where VAT not applied</v>
      </c>
      <c r="C54" s="30">
        <f t="shared" si="24"/>
        <v>33905</v>
      </c>
      <c r="D54" s="46">
        <f t="shared" si="25"/>
        <v>0</v>
      </c>
      <c r="F54" s="30">
        <f t="shared" si="26"/>
        <v>33905</v>
      </c>
      <c r="G54" s="30">
        <f t="shared" si="26"/>
        <v>0</v>
      </c>
      <c r="H54" s="30">
        <f t="shared" si="26"/>
        <v>0</v>
      </c>
      <c r="J54" s="9">
        <f t="shared" si="27"/>
        <v>0</v>
      </c>
      <c r="L54" s="21"/>
      <c r="M54" s="30">
        <f t="shared" si="29"/>
        <v>33905</v>
      </c>
      <c r="N54" s="30">
        <f t="shared" si="29"/>
        <v>33905</v>
      </c>
      <c r="O54" s="30">
        <f t="shared" si="29"/>
        <v>0</v>
      </c>
      <c r="P54" s="30">
        <f t="shared" si="29"/>
        <v>0</v>
      </c>
      <c r="R54" s="30">
        <f t="shared" si="30"/>
        <v>0</v>
      </c>
      <c r="S54" s="46"/>
    </row>
    <row r="55" spans="1:19">
      <c r="A55" t="s">
        <v>90</v>
      </c>
      <c r="C55" s="8">
        <f>SUM(C40:C54)</f>
        <v>132853</v>
      </c>
      <c r="D55" s="46">
        <f>SUMPRODUCT(F40:F53,D40:D53)/(F55-F54)</f>
        <v>0.16354389486628068</v>
      </c>
      <c r="E55" s="75"/>
      <c r="F55" s="8">
        <f>SUM(F40:F54)</f>
        <v>118945.19524881913</v>
      </c>
      <c r="G55" s="8">
        <f>SUM(G40:G54)</f>
        <v>13907.804751180858</v>
      </c>
      <c r="H55" s="8">
        <f>SUM(H40:H54)</f>
        <v>11320.9808619498</v>
      </c>
      <c r="J55" s="9">
        <f>SUMPRODUCT(J40:J53,N40:N53)/(N55-N54)</f>
        <v>0.16876256719831004</v>
      </c>
      <c r="K55" s="30"/>
      <c r="L55" s="21">
        <f>P55/O55</f>
        <v>0.84656207842061637</v>
      </c>
      <c r="M55" s="8">
        <f>SUM(M40:M54)</f>
        <v>132079.62723031329</v>
      </c>
      <c r="N55" s="8">
        <f>SUM(N40:N54)</f>
        <v>117903.77784044009</v>
      </c>
      <c r="O55" s="8">
        <f>SUM(O40:O54)</f>
        <v>14175.849389873187</v>
      </c>
      <c r="P55" s="8">
        <f>SUM(P40:P54)</f>
        <v>12000.736522868672</v>
      </c>
      <c r="Q55" s="21"/>
      <c r="R55" s="8">
        <f>SUM(R40:R54)</f>
        <v>679.75566091887106</v>
      </c>
      <c r="S55" s="46">
        <f>P55/H55-1</f>
        <v>6.0043883936201414E-2</v>
      </c>
    </row>
    <row r="56" spans="1:19">
      <c r="B56" t="s">
        <v>91</v>
      </c>
      <c r="C56" s="8">
        <f>C19+C37</f>
        <v>132853</v>
      </c>
      <c r="D56" s="46"/>
      <c r="E56" s="75"/>
      <c r="F56" s="8"/>
      <c r="G56" s="8"/>
      <c r="H56" s="8"/>
      <c r="J56" s="9"/>
      <c r="K56" s="30"/>
      <c r="L56" s="30"/>
      <c r="M56" s="8"/>
      <c r="N56" s="8"/>
      <c r="O56" s="8"/>
      <c r="P56" s="8"/>
      <c r="Q56" s="21"/>
      <c r="R56" s="8"/>
      <c r="S56" s="8"/>
    </row>
    <row r="57" spans="1:19">
      <c r="D57" s="21"/>
      <c r="J57" s="9"/>
    </row>
    <row r="58" spans="1:19">
      <c r="A58" t="s">
        <v>92</v>
      </c>
    </row>
    <row r="59" spans="1:19">
      <c r="B59" t="str">
        <f>'Data &amp; Assumptions'!B25</f>
        <v>Hotels</v>
      </c>
      <c r="C59" s="30">
        <f>'Data &amp; Assumptions'!D25*(1-islandstourists)</f>
        <v>2468.4414296477153</v>
      </c>
      <c r="D59" s="9">
        <f>D13</f>
        <v>6.5000000000000002E-2</v>
      </c>
      <c r="E59" s="66">
        <f>E13</f>
        <v>0.81400199848136201</v>
      </c>
      <c r="F59" s="8">
        <f>C59/(1+D59)</f>
        <v>2317.7853799509066</v>
      </c>
      <c r="G59" s="8">
        <f>D59*F59</f>
        <v>150.65604969680894</v>
      </c>
      <c r="H59" s="8">
        <f>G59*E59</f>
        <v>122.63432553650986</v>
      </c>
      <c r="J59" s="9">
        <f t="shared" ref="J59:L60" si="33">J13</f>
        <v>0.11</v>
      </c>
      <c r="K59" s="76">
        <f t="shared" si="33"/>
        <v>0.23699999999999999</v>
      </c>
      <c r="L59" s="21">
        <f t="shared" si="33"/>
        <v>0.84656207842061648</v>
      </c>
      <c r="M59" s="8">
        <f>$C59*(-$K59)*(((1+J59)-(1+$D59))/(1+$D59))+$C59</f>
        <v>2443.7222485705388</v>
      </c>
      <c r="N59" s="8">
        <f>M59/(1+J59)</f>
        <v>2201.5515752887736</v>
      </c>
      <c r="O59" s="8">
        <f>N59*J59</f>
        <v>242.17067328176509</v>
      </c>
      <c r="P59" s="8">
        <f>L59*O59</f>
        <v>205.01250850593112</v>
      </c>
      <c r="R59" s="8">
        <f>P59-H59</f>
        <v>82.37818296942126</v>
      </c>
      <c r="S59" s="46">
        <f t="shared" ref="S59:S64" si="34">P59/H59-1</f>
        <v>0.67173837837837813</v>
      </c>
    </row>
    <row r="60" spans="1:19">
      <c r="B60" t="str">
        <f>'Data &amp; Assumptions'!B26</f>
        <v>Restaurants</v>
      </c>
      <c r="C60" s="30">
        <f>'Data &amp; Assumptions'!D26*(1-islandstourists)</f>
        <v>2254.2378345129964</v>
      </c>
      <c r="D60" s="9">
        <f>D14</f>
        <v>0.13</v>
      </c>
      <c r="E60" s="66">
        <f>E14</f>
        <v>0.81400199848136201</v>
      </c>
      <c r="F60" s="8">
        <f>C60/(1+D60)</f>
        <v>1994.9007385070768</v>
      </c>
      <c r="G60" s="8">
        <f>D60*F60</f>
        <v>259.33709600591999</v>
      </c>
      <c r="H60" s="8">
        <f>G60*E60</f>
        <v>211.10091442917172</v>
      </c>
      <c r="J60" s="9">
        <f t="shared" si="33"/>
        <v>0.11</v>
      </c>
      <c r="K60" s="76">
        <f t="shared" si="33"/>
        <v>0.23699999999999999</v>
      </c>
      <c r="L60" s="21">
        <f t="shared" si="33"/>
        <v>0.84656207842061648</v>
      </c>
      <c r="M60" s="8">
        <f>$C60*(-$K60)*(((1+J60)-(1+$D60))/(1+$D60))+$C60</f>
        <v>2263.69366401352</v>
      </c>
      <c r="N60" s="8">
        <f>M60/(1+J60)</f>
        <v>2039.3636612734413</v>
      </c>
      <c r="O60" s="8">
        <f>N60*J60</f>
        <v>224.33000274007853</v>
      </c>
      <c r="P60" s="8">
        <f>L60*O60</f>
        <v>189.90927337174347</v>
      </c>
      <c r="R60" s="8">
        <f>P60-H60</f>
        <v>-21.191641057428257</v>
      </c>
      <c r="S60" s="46">
        <f t="shared" si="34"/>
        <v>-0.10038630630630663</v>
      </c>
    </row>
    <row r="61" spans="1:19">
      <c r="B61" t="str">
        <f>'Data &amp; Assumptions'!B27</f>
        <v>Transport</v>
      </c>
      <c r="C61" s="30">
        <f>'Data &amp; Assumptions'!D27*(1-islandstourists)</f>
        <v>1193.420030036292</v>
      </c>
      <c r="D61" s="9">
        <f>D16</f>
        <v>0.13</v>
      </c>
      <c r="E61" s="73">
        <f>E34</f>
        <v>0.81400199848136201</v>
      </c>
      <c r="F61" s="8">
        <f>C61/(1+D61)</f>
        <v>1056.1239203860991</v>
      </c>
      <c r="G61" s="8">
        <f>D61*F61</f>
        <v>137.2961096501929</v>
      </c>
      <c r="H61" s="8">
        <f>G61*E61</f>
        <v>111.75930763897324</v>
      </c>
      <c r="J61" s="9">
        <f>J16</f>
        <v>0.23</v>
      </c>
      <c r="K61" s="76">
        <f t="shared" ref="K61:L63" si="35">K15</f>
        <v>1.516</v>
      </c>
      <c r="L61" s="21">
        <f t="shared" si="35"/>
        <v>0.84656207842061648</v>
      </c>
      <c r="M61" s="8">
        <f>$C61*(-$K61)*(((1+J61)-(1+$D61))/(1+$D61))+$C61</f>
        <v>1033.3116437057593</v>
      </c>
      <c r="N61" s="8">
        <f>M61/(1+J61)</f>
        <v>840.09076724045474</v>
      </c>
      <c r="O61" s="8">
        <f>N61*J61</f>
        <v>193.2208764653046</v>
      </c>
      <c r="P61" s="8">
        <f>L61*O61</f>
        <v>163.57346677472145</v>
      </c>
      <c r="R61" s="8">
        <f>P61-H61</f>
        <v>51.814159135748213</v>
      </c>
      <c r="S61" s="46">
        <f t="shared" si="34"/>
        <v>0.46362276422764204</v>
      </c>
    </row>
    <row r="62" spans="1:19">
      <c r="B62" t="str">
        <f>'Data &amp; Assumptions'!B28</f>
        <v>Purchases etc</v>
      </c>
      <c r="C62" s="30">
        <f>'Data &amp; Assumptions'!D28*(1-islandstourists)</f>
        <v>2386.840060072584</v>
      </c>
      <c r="D62" s="9">
        <f>D17</f>
        <v>0.23</v>
      </c>
      <c r="E62" s="66">
        <f>E35</f>
        <v>0.81400199848136201</v>
      </c>
      <c r="F62" s="8">
        <f>C62/(1+D62)</f>
        <v>1940.5203740427512</v>
      </c>
      <c r="G62" s="8">
        <f>D62*F62</f>
        <v>446.31968602983278</v>
      </c>
      <c r="H62" s="8">
        <f>G62*E62</f>
        <v>363.30511638985791</v>
      </c>
      <c r="J62" s="9">
        <f>J17</f>
        <v>0.23</v>
      </c>
      <c r="K62" s="76">
        <f t="shared" si="35"/>
        <v>0.9</v>
      </c>
      <c r="L62" s="21">
        <f t="shared" si="35"/>
        <v>0.84656207842061648</v>
      </c>
      <c r="M62" s="8">
        <f>$C62*(-$K62)*(((1+J62)-(1+$D62))/(1+$D62))+$C62</f>
        <v>2386.840060072584</v>
      </c>
      <c r="N62" s="8">
        <f>M62/(1+J62)</f>
        <v>1940.5203740427512</v>
      </c>
      <c r="O62" s="8">
        <f>N62*J62</f>
        <v>446.31968602983278</v>
      </c>
      <c r="P62" s="8">
        <f>L62*O62</f>
        <v>377.8373210454522</v>
      </c>
      <c r="R62" s="8">
        <f>P62-H62</f>
        <v>14.532204655594285</v>
      </c>
      <c r="S62" s="46">
        <f t="shared" si="34"/>
        <v>3.9999999999999813E-2</v>
      </c>
    </row>
    <row r="63" spans="1:19">
      <c r="B63" t="str">
        <f>'Data &amp; Assumptions'!B29</f>
        <v>Culture &amp; entertainment</v>
      </c>
      <c r="C63" s="30">
        <f>'Data &amp; Assumptions'!D29*(1-islandstourists)</f>
        <v>530.40890223835208</v>
      </c>
      <c r="D63" s="9">
        <f>D16</f>
        <v>0.13</v>
      </c>
      <c r="E63" s="66">
        <f>E34</f>
        <v>0.81400199848136201</v>
      </c>
      <c r="F63" s="8">
        <f>C63/(1+D63)</f>
        <v>469.38840906048864</v>
      </c>
      <c r="G63" s="8">
        <f>D63*F63</f>
        <v>61.020493177863528</v>
      </c>
      <c r="H63" s="8">
        <f>G63*E63</f>
        <v>49.670803395099227</v>
      </c>
      <c r="J63" s="9">
        <f>J16</f>
        <v>0.23</v>
      </c>
      <c r="K63" s="76">
        <f t="shared" si="35"/>
        <v>1.5</v>
      </c>
      <c r="L63" s="21">
        <f t="shared" si="35"/>
        <v>0.84656207842061648</v>
      </c>
      <c r="M63" s="8">
        <f>$C63*(-$K63)*(((1+J63)-(1+$D63))/(1+$D63))+$C63</f>
        <v>460.00064087927876</v>
      </c>
      <c r="N63" s="8">
        <f>M63/(1+J63)</f>
        <v>373.98426087746242</v>
      </c>
      <c r="O63" s="8">
        <f>N63*J63</f>
        <v>86.016380001816358</v>
      </c>
      <c r="P63" s="8">
        <f>L63*O63</f>
        <v>72.818205432555203</v>
      </c>
      <c r="R63" s="8">
        <f>P63-H63</f>
        <v>23.147402037455976</v>
      </c>
      <c r="S63" s="46">
        <f t="shared" si="34"/>
        <v>0.46601626016260123</v>
      </c>
    </row>
    <row r="64" spans="1:19">
      <c r="A64" t="s">
        <v>93</v>
      </c>
      <c r="C64" s="30">
        <f>SUM(C59:C63)</f>
        <v>8833.3482565079394</v>
      </c>
      <c r="D64" s="9">
        <f>SUMPRODUCT(C59:C63,D59:D63)/C64</f>
        <v>0.13885681293302543</v>
      </c>
      <c r="F64" s="30">
        <f>SUM(F59:F63)</f>
        <v>7778.7188219473219</v>
      </c>
      <c r="G64" s="30">
        <f>SUM(G59:G63)</f>
        <v>1054.6294345606182</v>
      </c>
      <c r="H64" s="30">
        <f>SUM(H59:H63)</f>
        <v>858.47046738961194</v>
      </c>
      <c r="M64" s="30">
        <f>SUM(M59:M63)</f>
        <v>8587.5682572416808</v>
      </c>
      <c r="N64" s="30">
        <f>SUM(N59:N63)</f>
        <v>7395.5106387228834</v>
      </c>
      <c r="O64" s="30">
        <f>SUM(O59:O63)</f>
        <v>1192.0576185187972</v>
      </c>
      <c r="P64" s="30">
        <f>SUM(P59:P63)</f>
        <v>1009.1507751304034</v>
      </c>
      <c r="R64" s="30">
        <f>SUM(R59:R63)</f>
        <v>150.68030774079148</v>
      </c>
      <c r="S64" s="46">
        <f t="shared" si="34"/>
        <v>0.17552183035366564</v>
      </c>
    </row>
    <row r="66" spans="1:19">
      <c r="A66" t="s">
        <v>94</v>
      </c>
    </row>
    <row r="67" spans="1:19">
      <c r="B67" t="str">
        <f>B59</f>
        <v>Hotels</v>
      </c>
      <c r="C67" s="30">
        <f>'Data &amp; Assumptions'!D25*islandstourists</f>
        <v>927.38305072179958</v>
      </c>
      <c r="D67" s="9">
        <f>D31</f>
        <v>4.5499999999999999E-2</v>
      </c>
      <c r="E67" s="66">
        <f>E59</f>
        <v>0.81400199848136201</v>
      </c>
      <c r="F67" s="8">
        <f>C67/(1+D67)</f>
        <v>887.02348227814389</v>
      </c>
      <c r="G67" s="8">
        <f>D67*F67</f>
        <v>40.359568443655547</v>
      </c>
      <c r="H67" s="8">
        <f>G67*E67</f>
        <v>32.85276937098093</v>
      </c>
      <c r="J67" s="9">
        <f t="shared" ref="J67:L71" si="36">J59</f>
        <v>0.11</v>
      </c>
      <c r="K67" s="76">
        <f t="shared" si="36"/>
        <v>0.23699999999999999</v>
      </c>
      <c r="L67" s="77">
        <f t="shared" si="36"/>
        <v>0.84656207842061648</v>
      </c>
      <c r="M67" s="8">
        <f>$C67*(-$K67)*(((1+J67)-(1+$D67))/(1+$D67))+$C67</f>
        <v>913.82356625995476</v>
      </c>
      <c r="N67" s="8">
        <f>M67/(1+J67)</f>
        <v>823.26447410806725</v>
      </c>
      <c r="O67" s="8">
        <f>N67*J67</f>
        <v>90.559092151887398</v>
      </c>
      <c r="P67" s="8">
        <f>L67*O67</f>
        <v>76.663893271985941</v>
      </c>
      <c r="R67" s="8">
        <f>P67-H67</f>
        <v>43.811123901005011</v>
      </c>
      <c r="S67" s="46">
        <f t="shared" ref="S67:S72" si="37">P67/H67-1</f>
        <v>1.333559536679537</v>
      </c>
    </row>
    <row r="68" spans="1:19">
      <c r="B68" t="str">
        <f>B60</f>
        <v>Restaurants</v>
      </c>
      <c r="C68" s="30">
        <f>'Data &amp; Assumptions'!D26*islandstourists</f>
        <v>846.90766202280042</v>
      </c>
      <c r="D68" s="9">
        <f>D32</f>
        <v>9.0999999999999998E-2</v>
      </c>
      <c r="E68" s="66">
        <f>E60</f>
        <v>0.81400199848136201</v>
      </c>
      <c r="F68" s="8">
        <f>C68/(1+D68)</f>
        <v>776.26733457635237</v>
      </c>
      <c r="G68" s="8">
        <f>D68*F68</f>
        <v>70.640327446448069</v>
      </c>
      <c r="H68" s="8">
        <f>G68*E68</f>
        <v>57.501367714786539</v>
      </c>
      <c r="J68" s="9">
        <f t="shared" si="36"/>
        <v>0.11</v>
      </c>
      <c r="K68" s="76">
        <f t="shared" si="36"/>
        <v>0.23699999999999999</v>
      </c>
      <c r="L68" s="77">
        <f t="shared" si="36"/>
        <v>0.84656207842061648</v>
      </c>
      <c r="M68" s="8">
        <f>$C68*(-$K68)*(((1+J68)-(1+$D68))/(1+$D68))+$C68</f>
        <v>843.41213021520309</v>
      </c>
      <c r="N68" s="8">
        <f>M68/(1+J68)</f>
        <v>759.8307479416244</v>
      </c>
      <c r="O68" s="8">
        <f>N68*J68</f>
        <v>83.581382273578683</v>
      </c>
      <c r="P68" s="8">
        <f>L68*O68</f>
        <v>70.756828694788837</v>
      </c>
      <c r="R68" s="8">
        <f>P68-H68</f>
        <v>13.255460980002297</v>
      </c>
      <c r="S68" s="46">
        <f t="shared" si="37"/>
        <v>0.23052427284427246</v>
      </c>
    </row>
    <row r="69" spans="1:19">
      <c r="B69" t="str">
        <f>B61</f>
        <v>Transport</v>
      </c>
      <c r="C69" s="30">
        <f>'Data &amp; Assumptions'!D27*islandstourists</f>
        <v>448.36287989442377</v>
      </c>
      <c r="D69" s="9">
        <f>D34</f>
        <v>9.0999999999999998E-2</v>
      </c>
      <c r="E69" s="66">
        <f>E61</f>
        <v>0.81400199848136201</v>
      </c>
      <c r="F69" s="8">
        <f>C69/(1+D69)</f>
        <v>410.96505948159836</v>
      </c>
      <c r="G69" s="8">
        <f>D69*F69</f>
        <v>37.397820412825453</v>
      </c>
      <c r="H69" s="8">
        <f>G69*E69</f>
        <v>30.441900554886995</v>
      </c>
      <c r="J69" s="9">
        <f t="shared" si="36"/>
        <v>0.23</v>
      </c>
      <c r="K69" s="76">
        <f t="shared" si="36"/>
        <v>1.516</v>
      </c>
      <c r="L69" s="77">
        <f t="shared" si="36"/>
        <v>0.84656207842061648</v>
      </c>
      <c r="M69" s="8">
        <f>$C69*(-$K69)*(((1+J69)-(1+$D69))/(1+$D69))+$C69</f>
        <v>361.76267870022343</v>
      </c>
      <c r="N69" s="8">
        <f>M69/(1+J69)</f>
        <v>294.11599894327111</v>
      </c>
      <c r="O69" s="8">
        <f>N69*J69</f>
        <v>67.646679756952352</v>
      </c>
      <c r="P69" s="8">
        <f>L69*O69</f>
        <v>57.267113813299424</v>
      </c>
      <c r="R69" s="8">
        <f>P69-H69</f>
        <v>26.825213258412429</v>
      </c>
      <c r="S69" s="46">
        <f t="shared" si="37"/>
        <v>0.88119377468060356</v>
      </c>
    </row>
    <row r="70" spans="1:19">
      <c r="B70" t="str">
        <f>B62</f>
        <v>Purchases etc</v>
      </c>
      <c r="C70" s="30">
        <f>'Data &amp; Assumptions'!D28*islandstourists</f>
        <v>896.72575978884754</v>
      </c>
      <c r="D70" s="9">
        <f>D35</f>
        <v>0.161</v>
      </c>
      <c r="E70" s="66">
        <f>E62</f>
        <v>0.81400199848136201</v>
      </c>
      <c r="F70" s="8">
        <f>C70/(1+D70)</f>
        <v>772.3736087759238</v>
      </c>
      <c r="G70" s="8">
        <f>D70*F70</f>
        <v>124.35215101292374</v>
      </c>
      <c r="H70" s="8">
        <f>G70*E70</f>
        <v>101.22289943997605</v>
      </c>
      <c r="J70" s="9">
        <f t="shared" si="36"/>
        <v>0.23</v>
      </c>
      <c r="K70" s="76">
        <f t="shared" si="36"/>
        <v>0.9</v>
      </c>
      <c r="L70" s="77">
        <f t="shared" si="36"/>
        <v>0.84656207842061648</v>
      </c>
      <c r="M70" s="8">
        <f>$C70*(-$K70)*(((1+J70)-(1+$D70))/(1+$D70))+$C70</f>
        <v>848.76135868386268</v>
      </c>
      <c r="N70" s="8">
        <f>M70/(1+J70)</f>
        <v>690.0498851088314</v>
      </c>
      <c r="O70" s="8">
        <f>N70*J70</f>
        <v>158.71147357503122</v>
      </c>
      <c r="P70" s="8">
        <f>L70*O70</f>
        <v>134.35911493887718</v>
      </c>
      <c r="R70" s="8">
        <f>P70-H70</f>
        <v>33.136215498901137</v>
      </c>
      <c r="S70" s="46">
        <f t="shared" si="37"/>
        <v>0.32735888501742139</v>
      </c>
    </row>
    <row r="71" spans="1:19">
      <c r="B71" t="str">
        <f>B63</f>
        <v>Culture &amp; entertainment</v>
      </c>
      <c r="C71" s="30">
        <f>'Data &amp; Assumptions'!D29*islandstourists</f>
        <v>199.27239106418833</v>
      </c>
      <c r="D71" s="9">
        <f>D34</f>
        <v>9.0999999999999998E-2</v>
      </c>
      <c r="E71" s="66">
        <f>E63</f>
        <v>0.81400199848136201</v>
      </c>
      <c r="F71" s="8">
        <f>C71/(1+D71)</f>
        <v>182.65113754737703</v>
      </c>
      <c r="G71" s="8">
        <f>D71*F71</f>
        <v>16.621253516811308</v>
      </c>
      <c r="H71" s="8">
        <f>G71*E71</f>
        <v>13.529733579949772</v>
      </c>
      <c r="J71" s="9">
        <f t="shared" si="36"/>
        <v>0.23</v>
      </c>
      <c r="K71" s="76">
        <f t="shared" si="36"/>
        <v>1.5</v>
      </c>
      <c r="L71" s="77">
        <f t="shared" si="36"/>
        <v>0.84656207842061648</v>
      </c>
      <c r="M71" s="8">
        <f>$C71*(-$K71)*(((1+J71)-(1+$D71))/(1+$D71))+$C71</f>
        <v>161.18962888556021</v>
      </c>
      <c r="N71" s="8">
        <f>M71/(1+J71)</f>
        <v>131.04847876874814</v>
      </c>
      <c r="O71" s="8">
        <f>N71*J71</f>
        <v>30.141150116812074</v>
      </c>
      <c r="P71" s="8">
        <f>L71*O71</f>
        <v>25.516354688876238</v>
      </c>
      <c r="R71" s="8">
        <f>P71-H71</f>
        <v>11.986621108926466</v>
      </c>
      <c r="S71" s="46">
        <f t="shared" si="37"/>
        <v>0.8859465737514518</v>
      </c>
    </row>
    <row r="72" spans="1:19">
      <c r="A72" t="s">
        <v>95</v>
      </c>
      <c r="C72" s="30">
        <f>SUM(C67:C71)</f>
        <v>3318.6517434920597</v>
      </c>
      <c r="D72" s="9">
        <f>SUMPRODUCT(C67:C71,D67:D71)/C72</f>
        <v>9.7199769053117779E-2</v>
      </c>
      <c r="F72" s="30">
        <f>SUM(F67:F71)</f>
        <v>3029.2806226593957</v>
      </c>
      <c r="G72" s="30">
        <f>SUM(G67:G71)</f>
        <v>289.37112083266413</v>
      </c>
      <c r="H72" s="30">
        <f>SUM(H67:H71)</f>
        <v>235.54867066058029</v>
      </c>
      <c r="M72" s="30">
        <f>SUM(M67:M71)</f>
        <v>3128.9493627448041</v>
      </c>
      <c r="N72" s="30">
        <f>SUM(N67:N71)</f>
        <v>2698.3095848705425</v>
      </c>
      <c r="O72" s="30">
        <f>SUM(O67:O71)</f>
        <v>430.63977787426171</v>
      </c>
      <c r="P72" s="30">
        <f>SUM(P67:P71)</f>
        <v>364.56330540782761</v>
      </c>
      <c r="R72" s="30">
        <f>SUM(R67:R71)</f>
        <v>129.01463474724733</v>
      </c>
      <c r="S72" s="46">
        <f t="shared" si="37"/>
        <v>0.54771964700728093</v>
      </c>
    </row>
    <row r="74" spans="1:19">
      <c r="A74" t="s">
        <v>96</v>
      </c>
    </row>
    <row r="75" spans="1:19">
      <c r="B75" t="str">
        <f>B67</f>
        <v>Hotels</v>
      </c>
      <c r="C75" s="30">
        <f>C59+C67</f>
        <v>3395.8244803695147</v>
      </c>
      <c r="D75" s="46">
        <f t="shared" ref="D75:E80" si="38">G75/F75</f>
        <v>5.9602811385015581E-2</v>
      </c>
      <c r="E75" s="66">
        <f t="shared" si="38"/>
        <v>0.81400199848136201</v>
      </c>
      <c r="F75" s="30">
        <f t="shared" ref="F75:H79" si="39">F59+F67</f>
        <v>3204.8088622290506</v>
      </c>
      <c r="G75" s="30">
        <f t="shared" si="39"/>
        <v>191.01561814046448</v>
      </c>
      <c r="H75" s="30">
        <f t="shared" si="39"/>
        <v>155.48709490749079</v>
      </c>
      <c r="J75" s="9">
        <f t="shared" ref="J75:J80" si="40">O75/N75</f>
        <v>0.10999999999999999</v>
      </c>
      <c r="L75" s="77">
        <f t="shared" ref="L75:L80" si="41">P75/O75</f>
        <v>0.8465620784206167</v>
      </c>
      <c r="M75" s="30">
        <f t="shared" ref="M75:P80" si="42">M59+M67</f>
        <v>3357.5458148304933</v>
      </c>
      <c r="N75" s="30">
        <f t="shared" si="42"/>
        <v>3024.8160493968408</v>
      </c>
      <c r="O75" s="30">
        <f t="shared" si="42"/>
        <v>332.72976543365246</v>
      </c>
      <c r="P75" s="30">
        <f t="shared" si="42"/>
        <v>281.67640177791708</v>
      </c>
      <c r="R75" s="30">
        <f t="shared" ref="R75:R80" si="43">R59+R67</f>
        <v>126.18930687042626</v>
      </c>
      <c r="S75" s="46">
        <f t="shared" ref="S75:S80" si="44">P75/H75-1</f>
        <v>0.81157414990295096</v>
      </c>
    </row>
    <row r="76" spans="1:19">
      <c r="B76" t="str">
        <f>B68</f>
        <v>Restaurants</v>
      </c>
      <c r="C76" s="30">
        <f>C60+C68</f>
        <v>3101.1454965357971</v>
      </c>
      <c r="D76" s="46">
        <f t="shared" si="38"/>
        <v>0.11907521115643054</v>
      </c>
      <c r="E76" s="66">
        <f t="shared" si="38"/>
        <v>0.81400199848136212</v>
      </c>
      <c r="F76" s="30">
        <f t="shared" si="39"/>
        <v>2771.1680730834291</v>
      </c>
      <c r="G76" s="30">
        <f t="shared" si="39"/>
        <v>329.97742345236804</v>
      </c>
      <c r="H76" s="30">
        <f t="shared" si="39"/>
        <v>268.60228214395829</v>
      </c>
      <c r="J76" s="9">
        <f t="shared" si="40"/>
        <v>0.10999999999999999</v>
      </c>
      <c r="L76" s="77">
        <f t="shared" si="41"/>
        <v>0.84656207842061648</v>
      </c>
      <c r="M76" s="30">
        <f t="shared" si="42"/>
        <v>3107.105794228723</v>
      </c>
      <c r="N76" s="30">
        <f t="shared" si="42"/>
        <v>2799.1944092150657</v>
      </c>
      <c r="O76" s="30">
        <f t="shared" si="42"/>
        <v>307.9113850136572</v>
      </c>
      <c r="P76" s="30">
        <f t="shared" si="42"/>
        <v>260.66610206653229</v>
      </c>
      <c r="R76" s="30">
        <f t="shared" si="43"/>
        <v>-7.9361800774259592</v>
      </c>
      <c r="S76" s="46">
        <f t="shared" si="44"/>
        <v>-2.9546212392836502E-2</v>
      </c>
    </row>
    <row r="77" spans="1:19">
      <c r="B77" t="str">
        <f>B69</f>
        <v>Transport</v>
      </c>
      <c r="C77" s="30">
        <f>C61+C69</f>
        <v>1641.7829099307157</v>
      </c>
      <c r="D77" s="46">
        <f t="shared" si="38"/>
        <v>0.11907521115643052</v>
      </c>
      <c r="E77" s="66">
        <f t="shared" si="38"/>
        <v>0.81400199848136201</v>
      </c>
      <c r="F77" s="30">
        <f t="shared" si="39"/>
        <v>1467.0889798676976</v>
      </c>
      <c r="G77" s="30">
        <f t="shared" si="39"/>
        <v>174.69393006301834</v>
      </c>
      <c r="H77" s="30">
        <f t="shared" si="39"/>
        <v>142.20120819386023</v>
      </c>
      <c r="J77" s="9">
        <f t="shared" si="40"/>
        <v>0.22999999999999998</v>
      </c>
      <c r="L77" s="77">
        <f t="shared" si="41"/>
        <v>0.84656207842061659</v>
      </c>
      <c r="M77" s="30">
        <f t="shared" si="42"/>
        <v>1395.0743224059827</v>
      </c>
      <c r="N77" s="30">
        <f t="shared" si="42"/>
        <v>1134.2067661837259</v>
      </c>
      <c r="O77" s="30">
        <f t="shared" si="42"/>
        <v>260.86755622225695</v>
      </c>
      <c r="P77" s="30">
        <f t="shared" si="42"/>
        <v>220.84058058802088</v>
      </c>
      <c r="R77" s="30">
        <f t="shared" si="43"/>
        <v>78.639372394160645</v>
      </c>
      <c r="S77" s="46">
        <f t="shared" si="44"/>
        <v>0.55301479778535412</v>
      </c>
    </row>
    <row r="78" spans="1:19">
      <c r="B78" t="str">
        <f>B70</f>
        <v>Purchases etc</v>
      </c>
      <c r="C78" s="30">
        <f>C62+C70</f>
        <v>3283.5658198614315</v>
      </c>
      <c r="D78" s="46">
        <f t="shared" si="38"/>
        <v>0.21035537719385303</v>
      </c>
      <c r="E78" s="66">
        <f t="shared" si="38"/>
        <v>0.8140019984813619</v>
      </c>
      <c r="F78" s="30">
        <f t="shared" si="39"/>
        <v>2712.8939828186749</v>
      </c>
      <c r="G78" s="30">
        <f t="shared" si="39"/>
        <v>570.67183704275658</v>
      </c>
      <c r="H78" s="30">
        <f t="shared" si="39"/>
        <v>464.52801582983398</v>
      </c>
      <c r="J78" s="9">
        <f t="shared" si="40"/>
        <v>0.22999999999999998</v>
      </c>
      <c r="L78" s="77">
        <f t="shared" si="41"/>
        <v>0.84656207842061637</v>
      </c>
      <c r="M78" s="30">
        <f t="shared" si="42"/>
        <v>3235.6014187564469</v>
      </c>
      <c r="N78" s="30">
        <f t="shared" si="42"/>
        <v>2630.5702591515828</v>
      </c>
      <c r="O78" s="30">
        <f t="shared" si="42"/>
        <v>605.031159604864</v>
      </c>
      <c r="P78" s="30">
        <f t="shared" si="42"/>
        <v>512.19643598432936</v>
      </c>
      <c r="R78" s="30">
        <f t="shared" si="43"/>
        <v>47.668420154495422</v>
      </c>
      <c r="S78" s="46">
        <f t="shared" si="44"/>
        <v>0.10261688968175675</v>
      </c>
    </row>
    <row r="79" spans="1:19">
      <c r="B79" t="str">
        <f>B71</f>
        <v>Culture &amp; entertainment</v>
      </c>
      <c r="C79" s="30">
        <f>C63+C71</f>
        <v>729.68129330254044</v>
      </c>
      <c r="D79" s="46">
        <f t="shared" si="38"/>
        <v>0.11907521115643055</v>
      </c>
      <c r="E79" s="66">
        <f t="shared" si="38"/>
        <v>0.81400199848136201</v>
      </c>
      <c r="F79" s="30">
        <f t="shared" si="39"/>
        <v>652.03954660786565</v>
      </c>
      <c r="G79" s="30">
        <f t="shared" si="39"/>
        <v>77.641746694674836</v>
      </c>
      <c r="H79" s="30">
        <f t="shared" si="39"/>
        <v>63.200536975048998</v>
      </c>
      <c r="J79" s="9">
        <f t="shared" si="40"/>
        <v>0.23</v>
      </c>
      <c r="L79" s="77">
        <f t="shared" si="41"/>
        <v>0.84656207842061648</v>
      </c>
      <c r="M79" s="30">
        <f t="shared" si="42"/>
        <v>621.19026976483894</v>
      </c>
      <c r="N79" s="30">
        <f t="shared" si="42"/>
        <v>505.03273964621053</v>
      </c>
      <c r="O79" s="30">
        <f t="shared" si="42"/>
        <v>116.15753011862843</v>
      </c>
      <c r="P79" s="30">
        <f t="shared" si="42"/>
        <v>98.334560121431437</v>
      </c>
      <c r="R79" s="30">
        <f t="shared" si="43"/>
        <v>35.13402314638244</v>
      </c>
      <c r="S79" s="46">
        <f t="shared" si="44"/>
        <v>0.55591336447430884</v>
      </c>
    </row>
    <row r="80" spans="1:19">
      <c r="A80" t="s">
        <v>97</v>
      </c>
      <c r="C80" s="30">
        <f>SUM(C75:C79)</f>
        <v>12152</v>
      </c>
      <c r="D80" s="46">
        <f t="shared" si="38"/>
        <v>0.1243523893835829</v>
      </c>
      <c r="E80" s="66">
        <f t="shared" si="38"/>
        <v>0.81400199848136212</v>
      </c>
      <c r="F80" s="30">
        <f>SUM(F75:F79)</f>
        <v>10807.999444606718</v>
      </c>
      <c r="G80" s="30">
        <f>SUM(G75:G79)</f>
        <v>1344.0005553932822</v>
      </c>
      <c r="H80" s="30">
        <f>SUM(H75:H79)</f>
        <v>1094.0191380501924</v>
      </c>
      <c r="J80" s="9">
        <f t="shared" si="40"/>
        <v>0.16076147191527593</v>
      </c>
      <c r="L80" s="77">
        <f t="shared" si="41"/>
        <v>0.84656207842061659</v>
      </c>
      <c r="M80" s="30">
        <f t="shared" si="42"/>
        <v>11716.517619986485</v>
      </c>
      <c r="N80" s="30">
        <f t="shared" si="42"/>
        <v>10093.820223593426</v>
      </c>
      <c r="O80" s="30">
        <f t="shared" si="42"/>
        <v>1622.6973963930589</v>
      </c>
      <c r="P80" s="30">
        <f t="shared" si="42"/>
        <v>1373.714080538231</v>
      </c>
      <c r="R80" s="30">
        <f t="shared" si="43"/>
        <v>279.69494248803881</v>
      </c>
      <c r="S80" s="46">
        <f t="shared" si="44"/>
        <v>0.25565818070287394</v>
      </c>
    </row>
    <row r="81" spans="1:19">
      <c r="B81" t="s">
        <v>91</v>
      </c>
      <c r="C81" s="30">
        <f>C64+C72</f>
        <v>12152</v>
      </c>
    </row>
    <row r="83" spans="1:19">
      <c r="A83" t="s">
        <v>98</v>
      </c>
    </row>
    <row r="84" spans="1:19">
      <c r="B84" t="str">
        <f t="shared" ref="B84:C92" si="45">B4</f>
        <v>Bread &amp; milk</v>
      </c>
      <c r="C84" s="30">
        <f t="shared" si="45"/>
        <v>7011.4661999999998</v>
      </c>
      <c r="D84" s="46">
        <f t="shared" ref="D84:D97" si="46">G84/F84</f>
        <v>0.13</v>
      </c>
      <c r="E84" s="66">
        <f t="shared" ref="E84:E97" si="47">H84/G84</f>
        <v>0.81400199848136201</v>
      </c>
      <c r="F84" s="30">
        <f t="shared" ref="F84:H92" si="48">F4</f>
        <v>6204.8373451327434</v>
      </c>
      <c r="G84" s="30">
        <f t="shared" si="48"/>
        <v>806.62885486725668</v>
      </c>
      <c r="H84" s="30">
        <f t="shared" si="48"/>
        <v>656.59749989467946</v>
      </c>
      <c r="J84" s="9">
        <f t="shared" ref="J84:J98" si="49">O84/N84</f>
        <v>0.11</v>
      </c>
      <c r="L84" s="77">
        <f t="shared" ref="L84:L97" si="50">P84/O84</f>
        <v>0.84656207842061648</v>
      </c>
      <c r="M84" s="30">
        <f t="shared" ref="M84:P92" si="51">M4</f>
        <v>7082.4495392283179</v>
      </c>
      <c r="N84" s="30">
        <f t="shared" si="51"/>
        <v>6380.5851704759616</v>
      </c>
      <c r="O84" s="30">
        <f t="shared" si="51"/>
        <v>701.86436875235574</v>
      </c>
      <c r="P84" s="30">
        <f t="shared" si="51"/>
        <v>594.17175878036824</v>
      </c>
      <c r="R84" s="30">
        <f t="shared" ref="R84:R92" si="52">R4</f>
        <v>-62.425741114311222</v>
      </c>
      <c r="S84" s="46">
        <f t="shared" ref="S84:S97" si="53">P84/H84-1</f>
        <v>-9.5074594594594886E-2</v>
      </c>
    </row>
    <row r="85" spans="1:19">
      <c r="B85" t="str">
        <f t="shared" si="45"/>
        <v>Other food</v>
      </c>
      <c r="C85" s="30">
        <f t="shared" si="45"/>
        <v>13869.583199999999</v>
      </c>
      <c r="D85" s="46">
        <f t="shared" si="46"/>
        <v>0.13</v>
      </c>
      <c r="E85" s="66">
        <f t="shared" si="47"/>
        <v>0.81400199848136201</v>
      </c>
      <c r="F85" s="30">
        <f t="shared" si="48"/>
        <v>12273.967433628319</v>
      </c>
      <c r="G85" s="30">
        <f t="shared" si="48"/>
        <v>1595.6157663716815</v>
      </c>
      <c r="H85" s="30">
        <f t="shared" si="48"/>
        <v>1298.8344226349188</v>
      </c>
      <c r="J85" s="9">
        <f t="shared" si="49"/>
        <v>0.11</v>
      </c>
      <c r="L85" s="77">
        <f t="shared" si="50"/>
        <v>0.84656207842061648</v>
      </c>
      <c r="M85" s="30">
        <f t="shared" si="51"/>
        <v>14009.997387440706</v>
      </c>
      <c r="N85" s="30">
        <f t="shared" si="51"/>
        <v>12621.619267964599</v>
      </c>
      <c r="O85" s="30">
        <f t="shared" si="51"/>
        <v>1388.3781194761059</v>
      </c>
      <c r="P85" s="30">
        <f t="shared" si="51"/>
        <v>1175.3482664573992</v>
      </c>
      <c r="R85" s="30">
        <f t="shared" si="52"/>
        <v>-123.48615617751966</v>
      </c>
      <c r="S85" s="46">
        <f t="shared" si="53"/>
        <v>-9.5074594594594886E-2</v>
      </c>
    </row>
    <row r="86" spans="1:19">
      <c r="B86" t="str">
        <f t="shared" si="45"/>
        <v>Books</v>
      </c>
      <c r="C86" s="30">
        <f t="shared" si="45"/>
        <v>368.22739999999999</v>
      </c>
      <c r="D86" s="46">
        <f t="shared" si="46"/>
        <v>6.5000000000000002E-2</v>
      </c>
      <c r="E86" s="66">
        <f t="shared" si="47"/>
        <v>0.81400199848136201</v>
      </c>
      <c r="F86" s="30">
        <f t="shared" si="48"/>
        <v>345.75342723004695</v>
      </c>
      <c r="G86" s="30">
        <f t="shared" si="48"/>
        <v>22.473972769953054</v>
      </c>
      <c r="H86" s="30">
        <f t="shared" si="48"/>
        <v>18.293858748557497</v>
      </c>
      <c r="J86" s="9">
        <f t="shared" si="49"/>
        <v>6.0000000000000005E-2</v>
      </c>
      <c r="L86" s="77">
        <f t="shared" si="50"/>
        <v>0.84656207842061648</v>
      </c>
      <c r="M86" s="30">
        <f t="shared" si="51"/>
        <v>370.53357535962436</v>
      </c>
      <c r="N86" s="30">
        <f t="shared" si="51"/>
        <v>349.55997675436259</v>
      </c>
      <c r="O86" s="30">
        <f t="shared" si="51"/>
        <v>20.973598605261756</v>
      </c>
      <c r="P86" s="30">
        <f t="shared" si="51"/>
        <v>17.755453227230134</v>
      </c>
      <c r="R86" s="30">
        <f t="shared" si="52"/>
        <v>-0.53840552132736264</v>
      </c>
      <c r="S86" s="46">
        <f t="shared" si="53"/>
        <v>-2.9430943396226761E-2</v>
      </c>
    </row>
    <row r="87" spans="1:19">
      <c r="B87" t="str">
        <f t="shared" si="45"/>
        <v>Newspapers &amp; periodicals</v>
      </c>
      <c r="C87" s="30">
        <f t="shared" si="45"/>
        <v>440.16899999999998</v>
      </c>
      <c r="D87" s="46">
        <f t="shared" si="46"/>
        <v>6.5000000000000002E-2</v>
      </c>
      <c r="E87" s="66">
        <f t="shared" si="47"/>
        <v>0.81400199848136201</v>
      </c>
      <c r="F87" s="30">
        <f t="shared" si="48"/>
        <v>413.30422535211267</v>
      </c>
      <c r="G87" s="30">
        <f t="shared" si="48"/>
        <v>26.864774647887323</v>
      </c>
      <c r="H87" s="30">
        <f t="shared" si="48"/>
        <v>21.867980252131709</v>
      </c>
      <c r="J87" s="9">
        <f t="shared" si="49"/>
        <v>0.11</v>
      </c>
      <c r="L87" s="77">
        <f t="shared" si="50"/>
        <v>0.84656207842061637</v>
      </c>
      <c r="M87" s="30">
        <f t="shared" si="51"/>
        <v>415.35834735211256</v>
      </c>
      <c r="N87" s="30">
        <f t="shared" si="51"/>
        <v>374.19670932622751</v>
      </c>
      <c r="O87" s="30">
        <f t="shared" si="51"/>
        <v>41.161638025885026</v>
      </c>
      <c r="P87" s="30">
        <f t="shared" si="51"/>
        <v>34.845881838390305</v>
      </c>
      <c r="R87" s="30">
        <f t="shared" si="52"/>
        <v>12.977901586258596</v>
      </c>
      <c r="S87" s="46">
        <f t="shared" si="53"/>
        <v>0.59346594594594526</v>
      </c>
    </row>
    <row r="88" spans="1:19">
      <c r="B88" t="str">
        <f t="shared" si="45"/>
        <v>Pharmaceuticals</v>
      </c>
      <c r="C88" s="30">
        <f t="shared" si="45"/>
        <v>1744.5837999999999</v>
      </c>
      <c r="D88" s="46">
        <f t="shared" si="46"/>
        <v>6.5000000000000002E-2</v>
      </c>
      <c r="E88" s="66">
        <f t="shared" si="47"/>
        <v>0.81400199848136201</v>
      </c>
      <c r="F88" s="30">
        <f t="shared" si="48"/>
        <v>1638.1068544600939</v>
      </c>
      <c r="G88" s="30">
        <f t="shared" si="48"/>
        <v>106.47694553990611</v>
      </c>
      <c r="H88" s="30">
        <f t="shared" si="48"/>
        <v>86.672446461674724</v>
      </c>
      <c r="J88" s="9">
        <f t="shared" si="49"/>
        <v>5.9999999999999991E-2</v>
      </c>
      <c r="L88" s="77">
        <f t="shared" si="50"/>
        <v>0.84656207842061648</v>
      </c>
      <c r="M88" s="30">
        <f t="shared" si="51"/>
        <v>1750.5219373474176</v>
      </c>
      <c r="N88" s="30">
        <f t="shared" si="51"/>
        <v>1651.4357899503939</v>
      </c>
      <c r="O88" s="30">
        <f t="shared" si="51"/>
        <v>99.086147397023623</v>
      </c>
      <c r="P88" s="30">
        <f t="shared" si="51"/>
        <v>83.882574883115879</v>
      </c>
      <c r="R88" s="30">
        <f t="shared" si="52"/>
        <v>-2.789871578558845</v>
      </c>
      <c r="S88" s="46">
        <f t="shared" si="53"/>
        <v>-3.2188679245283347E-2</v>
      </c>
    </row>
    <row r="89" spans="1:19">
      <c r="B89" t="str">
        <f t="shared" si="45"/>
        <v>Water, electricity &amp; gas</v>
      </c>
      <c r="C89" s="30">
        <f t="shared" si="45"/>
        <v>3148.3915999999999</v>
      </c>
      <c r="D89" s="46">
        <f t="shared" si="46"/>
        <v>0.13</v>
      </c>
      <c r="E89" s="66">
        <f t="shared" si="47"/>
        <v>0.81400199848136201</v>
      </c>
      <c r="F89" s="30">
        <f t="shared" si="48"/>
        <v>2786.1872566371685</v>
      </c>
      <c r="G89" s="30">
        <f t="shared" si="48"/>
        <v>362.20434336283193</v>
      </c>
      <c r="H89" s="30">
        <f t="shared" si="48"/>
        <v>294.83505935597464</v>
      </c>
      <c r="J89" s="9">
        <f t="shared" si="49"/>
        <v>0.11</v>
      </c>
      <c r="L89" s="77">
        <f t="shared" si="50"/>
        <v>0.84656207842061648</v>
      </c>
      <c r="M89" s="30">
        <f t="shared" si="51"/>
        <v>3162.879773734513</v>
      </c>
      <c r="N89" s="30">
        <f t="shared" si="51"/>
        <v>2849.4412375986603</v>
      </c>
      <c r="O89" s="30">
        <f t="shared" si="51"/>
        <v>313.43853613585264</v>
      </c>
      <c r="P89" s="30">
        <f t="shared" si="51"/>
        <v>265.34517860828294</v>
      </c>
      <c r="R89" s="30">
        <f t="shared" si="52"/>
        <v>-29.4898807476917</v>
      </c>
      <c r="S89" s="46">
        <f t="shared" si="53"/>
        <v>-0.10002162162162176</v>
      </c>
    </row>
    <row r="90" spans="1:19">
      <c r="B90" t="str">
        <f t="shared" si="45"/>
        <v>Alcohol</v>
      </c>
      <c r="C90" s="30">
        <f t="shared" si="45"/>
        <v>1141.5996</v>
      </c>
      <c r="D90" s="46">
        <f t="shared" si="46"/>
        <v>0.23</v>
      </c>
      <c r="E90" s="66">
        <f t="shared" si="47"/>
        <v>0.81400199848136212</v>
      </c>
      <c r="F90" s="30">
        <f t="shared" si="48"/>
        <v>928.12975609756097</v>
      </c>
      <c r="G90" s="30">
        <f t="shared" si="48"/>
        <v>213.46984390243904</v>
      </c>
      <c r="H90" s="30">
        <f t="shared" si="48"/>
        <v>173.76487955208978</v>
      </c>
      <c r="J90" s="9">
        <f t="shared" si="49"/>
        <v>0.23</v>
      </c>
      <c r="L90" s="77">
        <f t="shared" si="50"/>
        <v>0.84656207842061659</v>
      </c>
      <c r="M90" s="30">
        <f t="shared" si="51"/>
        <v>1141.5996</v>
      </c>
      <c r="N90" s="30">
        <f t="shared" si="51"/>
        <v>928.12975609756097</v>
      </c>
      <c r="O90" s="30">
        <f t="shared" si="51"/>
        <v>213.46984390243904</v>
      </c>
      <c r="P90" s="30">
        <f t="shared" si="51"/>
        <v>180.71547473417337</v>
      </c>
      <c r="R90" s="30">
        <f t="shared" si="52"/>
        <v>6.950595182083589</v>
      </c>
      <c r="S90" s="46">
        <f t="shared" si="53"/>
        <v>4.0000000000000036E-2</v>
      </c>
    </row>
    <row r="91" spans="1:19">
      <c r="B91" t="str">
        <f t="shared" si="45"/>
        <v>Clothing and footwear</v>
      </c>
      <c r="C91" s="30">
        <f t="shared" si="45"/>
        <v>4308.9232000000002</v>
      </c>
      <c r="D91" s="46">
        <f t="shared" si="46"/>
        <v>0.23</v>
      </c>
      <c r="E91" s="66">
        <f t="shared" si="47"/>
        <v>0.81400199848136201</v>
      </c>
      <c r="F91" s="30">
        <f t="shared" si="48"/>
        <v>3503.1895934959352</v>
      </c>
      <c r="G91" s="30">
        <f t="shared" si="48"/>
        <v>805.73360650406516</v>
      </c>
      <c r="H91" s="30">
        <f t="shared" si="48"/>
        <v>655.86876593790441</v>
      </c>
      <c r="J91" s="9">
        <f t="shared" si="49"/>
        <v>0.23</v>
      </c>
      <c r="L91" s="77">
        <f t="shared" si="50"/>
        <v>0.84656207842061648</v>
      </c>
      <c r="M91" s="30">
        <f t="shared" si="51"/>
        <v>4308.9232000000002</v>
      </c>
      <c r="N91" s="30">
        <f t="shared" si="51"/>
        <v>3503.1895934959352</v>
      </c>
      <c r="O91" s="30">
        <f t="shared" si="51"/>
        <v>805.73360650406516</v>
      </c>
      <c r="P91" s="30">
        <f t="shared" si="51"/>
        <v>682.1035165754206</v>
      </c>
      <c r="R91" s="30">
        <f t="shared" si="52"/>
        <v>26.234750637516186</v>
      </c>
      <c r="S91" s="46">
        <f t="shared" si="53"/>
        <v>4.0000000000000036E-2</v>
      </c>
    </row>
    <row r="92" spans="1:19">
      <c r="B92" t="str">
        <f t="shared" si="45"/>
        <v>Fuel</v>
      </c>
      <c r="C92" s="30">
        <f t="shared" si="45"/>
        <v>4650.6458000000002</v>
      </c>
      <c r="D92" s="46">
        <f t="shared" si="46"/>
        <v>0.23</v>
      </c>
      <c r="E92" s="66">
        <f t="shared" si="47"/>
        <v>0.81400199848136201</v>
      </c>
      <c r="F92" s="30">
        <f t="shared" si="48"/>
        <v>3781.0128455284557</v>
      </c>
      <c r="G92" s="30">
        <f t="shared" si="48"/>
        <v>869.63295447154485</v>
      </c>
      <c r="H92" s="30">
        <f t="shared" si="48"/>
        <v>707.88296288508877</v>
      </c>
      <c r="J92" s="9">
        <f t="shared" si="49"/>
        <v>0.23</v>
      </c>
      <c r="L92" s="77">
        <f t="shared" si="50"/>
        <v>0.84656207842061648</v>
      </c>
      <c r="M92" s="30">
        <f t="shared" si="51"/>
        <v>4650.6458000000002</v>
      </c>
      <c r="N92" s="30">
        <f t="shared" si="51"/>
        <v>3781.0128455284557</v>
      </c>
      <c r="O92" s="30">
        <f t="shared" si="51"/>
        <v>869.63295447154485</v>
      </c>
      <c r="P92" s="30">
        <f t="shared" si="51"/>
        <v>736.19828140049231</v>
      </c>
      <c r="R92" s="30">
        <f t="shared" si="52"/>
        <v>28.315318515403533</v>
      </c>
      <c r="S92" s="46">
        <f t="shared" si="53"/>
        <v>4.0000000000000036E-2</v>
      </c>
    </row>
    <row r="93" spans="1:19">
      <c r="B93" t="str">
        <f t="shared" ref="B93:B98" si="54">B13</f>
        <v>Hotels</v>
      </c>
      <c r="C93" s="30">
        <f>C13+C59</f>
        <v>6139.3562296477157</v>
      </c>
      <c r="D93" s="46">
        <f t="shared" si="46"/>
        <v>6.5000000000000002E-2</v>
      </c>
      <c r="E93" s="66">
        <f t="shared" si="47"/>
        <v>0.81400199848136212</v>
      </c>
      <c r="F93" s="30">
        <f t="shared" ref="F93:H94" si="55">F13+F59</f>
        <v>5764.6537367584187</v>
      </c>
      <c r="G93" s="30">
        <f t="shared" si="55"/>
        <v>374.70249288929722</v>
      </c>
      <c r="H93" s="30">
        <f t="shared" si="55"/>
        <v>305.00857804783629</v>
      </c>
      <c r="J93" s="9">
        <f t="shared" si="49"/>
        <v>0.11</v>
      </c>
      <c r="L93" s="77">
        <f t="shared" si="50"/>
        <v>0.84656207842061648</v>
      </c>
      <c r="M93" s="30">
        <f t="shared" ref="M93:P94" si="56">M13+M59</f>
        <v>6077.8761975451871</v>
      </c>
      <c r="N93" s="30">
        <f t="shared" si="56"/>
        <v>5475.5641419326003</v>
      </c>
      <c r="O93" s="30">
        <f t="shared" si="56"/>
        <v>602.31205561258605</v>
      </c>
      <c r="P93" s="30">
        <f t="shared" si="56"/>
        <v>509.89454565718478</v>
      </c>
      <c r="R93" s="30">
        <f>R13+R59</f>
        <v>204.88596760934851</v>
      </c>
      <c r="S93" s="46">
        <f t="shared" si="53"/>
        <v>0.67173837837837791</v>
      </c>
    </row>
    <row r="94" spans="1:19">
      <c r="B94" t="str">
        <f t="shared" si="54"/>
        <v>Restaurants</v>
      </c>
      <c r="C94" s="30">
        <f>C14+C60</f>
        <v>15819.962434512996</v>
      </c>
      <c r="D94" s="46">
        <f t="shared" si="46"/>
        <v>0.13</v>
      </c>
      <c r="E94" s="66">
        <f t="shared" si="47"/>
        <v>0.8140019984813619</v>
      </c>
      <c r="F94" s="30">
        <f t="shared" si="55"/>
        <v>13999.966756206191</v>
      </c>
      <c r="G94" s="30">
        <f t="shared" si="55"/>
        <v>1819.9956783068051</v>
      </c>
      <c r="H94" s="30">
        <f t="shared" si="55"/>
        <v>1481.4801193691812</v>
      </c>
      <c r="J94" s="9">
        <f t="shared" si="49"/>
        <v>0.11</v>
      </c>
      <c r="L94" s="77">
        <f t="shared" si="50"/>
        <v>0.84656207842061648</v>
      </c>
      <c r="M94" s="30">
        <f t="shared" si="56"/>
        <v>15886.322276937412</v>
      </c>
      <c r="N94" s="30">
        <f t="shared" si="56"/>
        <v>14312.002051294965</v>
      </c>
      <c r="O94" s="30">
        <f t="shared" si="56"/>
        <v>1574.3202256424461</v>
      </c>
      <c r="P94" s="30">
        <f t="shared" si="56"/>
        <v>1332.759802319483</v>
      </c>
      <c r="R94" s="30">
        <f>R14+R60</f>
        <v>-148.72031704969814</v>
      </c>
      <c r="S94" s="46">
        <f t="shared" si="53"/>
        <v>-0.10038630630630652</v>
      </c>
    </row>
    <row r="95" spans="1:19">
      <c r="B95" t="str">
        <f t="shared" si="54"/>
        <v>Tobacco</v>
      </c>
      <c r="C95" s="30">
        <f>C15</f>
        <v>4238.8747999999996</v>
      </c>
      <c r="D95" s="46">
        <f t="shared" si="46"/>
        <v>0.23000000000000004</v>
      </c>
      <c r="E95" s="66">
        <f t="shared" si="47"/>
        <v>0.81400199848136201</v>
      </c>
      <c r="F95" s="30">
        <f>F15</f>
        <v>3446.2396747967477</v>
      </c>
      <c r="G95" s="30">
        <f>G15</f>
        <v>792.63512520325207</v>
      </c>
      <c r="H95" s="30">
        <f>H15</f>
        <v>645.20657598197181</v>
      </c>
      <c r="J95" s="9">
        <f t="shared" si="49"/>
        <v>0.23000000000000004</v>
      </c>
      <c r="L95" s="77">
        <f t="shared" si="50"/>
        <v>0.84656207842061648</v>
      </c>
      <c r="M95" s="30">
        <f>M15</f>
        <v>4238.8747999999996</v>
      </c>
      <c r="N95" s="30">
        <f>N15</f>
        <v>3446.2396747967477</v>
      </c>
      <c r="O95" s="30">
        <f>O15</f>
        <v>792.63512520325207</v>
      </c>
      <c r="P95" s="30">
        <f>P15</f>
        <v>671.01483902125062</v>
      </c>
      <c r="R95" s="30">
        <f>R15</f>
        <v>25.808263039278813</v>
      </c>
      <c r="S95" s="46">
        <f t="shared" si="53"/>
        <v>3.9999999999999813E-2</v>
      </c>
    </row>
    <row r="96" spans="1:19">
      <c r="B96" t="str">
        <f t="shared" si="54"/>
        <v>Rest of 13% products &amp; services</v>
      </c>
      <c r="C96" s="30">
        <f>C16+C61+C63</f>
        <v>11047.838932274644</v>
      </c>
      <c r="D96" s="46">
        <f t="shared" si="46"/>
        <v>0.13000000000000003</v>
      </c>
      <c r="E96" s="66">
        <f t="shared" si="47"/>
        <v>0.81400199848136201</v>
      </c>
      <c r="F96" s="30">
        <f>F16+F61+F63</f>
        <v>9776.8486126324278</v>
      </c>
      <c r="G96" s="30">
        <f>G16+G61+G63</f>
        <v>1270.9903196422158</v>
      </c>
      <c r="H96" s="30">
        <f>H16+H61+H63</f>
        <v>1034.5886602392288</v>
      </c>
      <c r="J96" s="9">
        <f t="shared" si="49"/>
        <v>0.23</v>
      </c>
      <c r="L96" s="77">
        <f t="shared" si="50"/>
        <v>0.84656207842061648</v>
      </c>
      <c r="M96" s="30">
        <f>M16+M61+M63</f>
        <v>10074.702019098313</v>
      </c>
      <c r="N96" s="30">
        <f>N16+N61+N63</f>
        <v>8190.8146496734244</v>
      </c>
      <c r="O96" s="30">
        <f>O16+O61+O63</f>
        <v>1883.8873694248878</v>
      </c>
      <c r="P96" s="30">
        <f>P16+P61+P63</f>
        <v>1594.8276069706808</v>
      </c>
      <c r="R96" s="30">
        <f>R16+R61+R63</f>
        <v>560.23894673145196</v>
      </c>
      <c r="S96" s="46">
        <f t="shared" si="53"/>
        <v>0.54150888006244657</v>
      </c>
    </row>
    <row r="97" spans="1:19">
      <c r="B97" t="str">
        <f t="shared" si="54"/>
        <v>Rest of 23% products &amp; services</v>
      </c>
      <c r="C97" s="30">
        <f>C17+C62</f>
        <v>28567.902860072583</v>
      </c>
      <c r="D97" s="46">
        <f t="shared" si="46"/>
        <v>0.23000000000000007</v>
      </c>
      <c r="E97" s="66">
        <f t="shared" si="47"/>
        <v>0.81400199848136201</v>
      </c>
      <c r="F97" s="30">
        <f>F17+F62</f>
        <v>23225.937284611857</v>
      </c>
      <c r="G97" s="30">
        <f>G17+G62</f>
        <v>5341.9655754607284</v>
      </c>
      <c r="H97" s="30">
        <f>H17+H62</f>
        <v>4348.3706542436721</v>
      </c>
      <c r="J97" s="9">
        <f t="shared" si="49"/>
        <v>0.23000000000000007</v>
      </c>
      <c r="L97" s="77">
        <f t="shared" si="50"/>
        <v>0.84656207842061637</v>
      </c>
      <c r="M97" s="30">
        <f>M17+M62</f>
        <v>28567.902860072583</v>
      </c>
      <c r="N97" s="30">
        <f>N17+N62</f>
        <v>23225.937284611857</v>
      </c>
      <c r="O97" s="30">
        <f>O17+O62</f>
        <v>5341.9655754607284</v>
      </c>
      <c r="P97" s="30">
        <f>P17+P62</f>
        <v>4522.3054804134181</v>
      </c>
      <c r="R97" s="30">
        <f>R17+R62</f>
        <v>173.93482616974637</v>
      </c>
      <c r="S97" s="46">
        <f t="shared" si="53"/>
        <v>3.9999999999999813E-2</v>
      </c>
    </row>
    <row r="98" spans="1:19">
      <c r="B98" t="str">
        <f t="shared" si="54"/>
        <v>Products &amp; services where VAT not applied</v>
      </c>
      <c r="C98" s="30">
        <f>C18</f>
        <v>32094.472999999998</v>
      </c>
      <c r="D98" s="46">
        <f>G98/F98</f>
        <v>0</v>
      </c>
      <c r="E98" s="66"/>
      <c r="F98" s="30">
        <f>F18</f>
        <v>32094.472999999998</v>
      </c>
      <c r="G98" s="30">
        <f>G18</f>
        <v>0</v>
      </c>
      <c r="H98" s="30">
        <f>H18</f>
        <v>0</v>
      </c>
      <c r="J98" s="9">
        <f t="shared" si="49"/>
        <v>0</v>
      </c>
      <c r="L98" s="77"/>
      <c r="M98" s="30">
        <f>M18</f>
        <v>32094.472999999998</v>
      </c>
      <c r="N98" s="30">
        <f>N18</f>
        <v>32094.472999999998</v>
      </c>
      <c r="O98" s="30">
        <f>O18</f>
        <v>0</v>
      </c>
      <c r="P98" s="30">
        <f>P18</f>
        <v>0</v>
      </c>
      <c r="R98" s="30">
        <f>R18</f>
        <v>0</v>
      </c>
      <c r="S98" s="46"/>
    </row>
    <row r="99" spans="1:19">
      <c r="A99" t="s">
        <v>99</v>
      </c>
      <c r="C99" s="30">
        <f>SUM(C84:C98)</f>
        <v>134591.99805650796</v>
      </c>
      <c r="D99" s="46">
        <f>SUMPRODUCT(F84:F97,D84:D97)/(F99-F98)</f>
        <v>0.16357924124782103</v>
      </c>
      <c r="E99" s="66">
        <f>H99/G99</f>
        <v>0.81400199848136212</v>
      </c>
      <c r="F99" s="30">
        <f>SUM(F84:F98)</f>
        <v>120182.60780256808</v>
      </c>
      <c r="G99" s="30">
        <f>SUM(G84:G98)</f>
        <v>14409.390253939862</v>
      </c>
      <c r="H99" s="30">
        <f>SUM(H84:H98)</f>
        <v>11729.27246360491</v>
      </c>
      <c r="J99" s="9">
        <f>SUMPRODUCT(J84:J97,N84:N97)/(N99-N98)</f>
        <v>0.16820421278003772</v>
      </c>
      <c r="L99" s="77">
        <f>P99/O99</f>
        <v>0.84656207842061648</v>
      </c>
      <c r="M99" s="30">
        <f>SUM(M84:M98)</f>
        <v>133833.06031411618</v>
      </c>
      <c r="N99" s="30">
        <f>SUM(N84:N98)</f>
        <v>119184.20114950175</v>
      </c>
      <c r="O99" s="30">
        <f>SUM(O84:O98)</f>
        <v>14648.859164614434</v>
      </c>
      <c r="P99" s="30">
        <f>SUM(P84:P98)</f>
        <v>12401.168660886891</v>
      </c>
      <c r="R99" s="30">
        <f>SUM(R84:R98)</f>
        <v>671.89619728198068</v>
      </c>
      <c r="S99" s="46">
        <f>P99/H99-1</f>
        <v>5.7283706160533576E-2</v>
      </c>
    </row>
    <row r="100" spans="1:19">
      <c r="B100" t="s">
        <v>91</v>
      </c>
      <c r="C100" s="30">
        <f>C19+C64</f>
        <v>134591.99805650793</v>
      </c>
      <c r="F100" s="30"/>
      <c r="G100" s="30"/>
      <c r="H100" s="30"/>
      <c r="M100" s="30"/>
      <c r="N100" s="30"/>
      <c r="O100" s="30"/>
      <c r="P100" s="30"/>
      <c r="R100" s="30"/>
      <c r="S100" s="30"/>
    </row>
    <row r="101" spans="1:19">
      <c r="C101" s="30"/>
    </row>
    <row r="102" spans="1:19">
      <c r="A102" t="s">
        <v>100</v>
      </c>
    </row>
    <row r="103" spans="1:19">
      <c r="B103" t="str">
        <f t="shared" ref="B103:B117" si="57">B4</f>
        <v>Bread &amp; milk</v>
      </c>
      <c r="C103" s="30">
        <f t="shared" ref="C103:C111" si="58">C22</f>
        <v>395.53380000000004</v>
      </c>
      <c r="D103" s="46">
        <f t="shared" ref="D103:D116" si="59">G103/F103</f>
        <v>9.0999999999999998E-2</v>
      </c>
      <c r="E103" s="66">
        <f t="shared" ref="E103:E116" si="60">H103/G103</f>
        <v>0.81400199848136201</v>
      </c>
      <c r="F103" s="30">
        <f t="shared" ref="F103:H111" si="61">F22</f>
        <v>362.54243813015586</v>
      </c>
      <c r="G103" s="30">
        <f t="shared" si="61"/>
        <v>32.991361869844184</v>
      </c>
      <c r="H103" s="30">
        <f t="shared" si="61"/>
        <v>26.855034494674971</v>
      </c>
      <c r="J103" s="9">
        <f t="shared" ref="J103:J117" si="62">O103/N103</f>
        <v>0.11</v>
      </c>
      <c r="L103" s="77">
        <f t="shared" ref="L103:L116" si="63">P103/O103</f>
        <v>0.84656207842061648</v>
      </c>
      <c r="M103" s="30">
        <f t="shared" ref="M103:P111" si="64">M22</f>
        <v>391.5936887824015</v>
      </c>
      <c r="N103" s="30">
        <f t="shared" si="64"/>
        <v>352.78710701117251</v>
      </c>
      <c r="O103" s="30">
        <f t="shared" si="64"/>
        <v>38.806581771228977</v>
      </c>
      <c r="P103" s="30">
        <f t="shared" si="64"/>
        <v>32.85218052065121</v>
      </c>
      <c r="R103" s="30">
        <f t="shared" ref="R103:R111" si="65">R22</f>
        <v>5.9971460259762388</v>
      </c>
      <c r="S103" s="46">
        <f t="shared" ref="S103:S116" si="66">P103/H103-1</f>
        <v>0.22331552123552112</v>
      </c>
    </row>
    <row r="104" spans="1:19">
      <c r="B104" t="str">
        <f t="shared" si="57"/>
        <v>Other food</v>
      </c>
      <c r="C104" s="30">
        <f t="shared" si="58"/>
        <v>782.41680000000008</v>
      </c>
      <c r="D104" s="46">
        <f t="shared" si="59"/>
        <v>9.0999999999999998E-2</v>
      </c>
      <c r="E104" s="66">
        <f t="shared" si="60"/>
        <v>0.81400199848136201</v>
      </c>
      <c r="F104" s="30">
        <f t="shared" si="61"/>
        <v>717.15563703024759</v>
      </c>
      <c r="G104" s="30">
        <f t="shared" si="61"/>
        <v>65.261162969752533</v>
      </c>
      <c r="H104" s="30">
        <f t="shared" si="61"/>
        <v>53.122717080596424</v>
      </c>
      <c r="J104" s="9">
        <f t="shared" si="62"/>
        <v>0.10999999999999999</v>
      </c>
      <c r="L104" s="77">
        <f t="shared" si="63"/>
        <v>0.84656207842061659</v>
      </c>
      <c r="M104" s="30">
        <f t="shared" si="64"/>
        <v>774.62275253675534</v>
      </c>
      <c r="N104" s="30">
        <f t="shared" si="64"/>
        <v>697.85833561869845</v>
      </c>
      <c r="O104" s="30">
        <f t="shared" si="64"/>
        <v>76.764416918056824</v>
      </c>
      <c r="P104" s="30">
        <f t="shared" si="64"/>
        <v>64.985844334896925</v>
      </c>
      <c r="R104" s="30">
        <f t="shared" si="65"/>
        <v>11.863127254300501</v>
      </c>
      <c r="S104" s="46">
        <f t="shared" si="66"/>
        <v>0.2233155212355209</v>
      </c>
    </row>
    <row r="105" spans="1:19">
      <c r="B105" t="str">
        <f t="shared" si="57"/>
        <v>Books</v>
      </c>
      <c r="C105" s="30">
        <f t="shared" si="58"/>
        <v>20.772600000000001</v>
      </c>
      <c r="D105" s="46">
        <f t="shared" si="59"/>
        <v>4.5499999999999999E-2</v>
      </c>
      <c r="E105" s="66">
        <f t="shared" si="60"/>
        <v>0.81400199848136201</v>
      </c>
      <c r="F105" s="30">
        <f t="shared" si="61"/>
        <v>19.868579626972739</v>
      </c>
      <c r="G105" s="30">
        <f t="shared" si="61"/>
        <v>0.90402037302725957</v>
      </c>
      <c r="H105" s="30">
        <f t="shared" si="61"/>
        <v>0.7358743903120557</v>
      </c>
      <c r="J105" s="9">
        <f t="shared" si="62"/>
        <v>0.06</v>
      </c>
      <c r="L105" s="77">
        <f t="shared" si="63"/>
        <v>0.84656207842061648</v>
      </c>
      <c r="M105" s="30">
        <f t="shared" si="64"/>
        <v>20.388282064275469</v>
      </c>
      <c r="N105" s="30">
        <f t="shared" si="64"/>
        <v>19.234228362524025</v>
      </c>
      <c r="O105" s="30">
        <f t="shared" si="64"/>
        <v>1.1540537017514414</v>
      </c>
      <c r="P105" s="30">
        <f t="shared" si="64"/>
        <v>0.97697810036370647</v>
      </c>
      <c r="R105" s="30">
        <f t="shared" si="65"/>
        <v>0.24110371005165077</v>
      </c>
      <c r="S105" s="46">
        <f t="shared" si="66"/>
        <v>0.32764247978436645</v>
      </c>
    </row>
    <row r="106" spans="1:19">
      <c r="B106" t="str">
        <f t="shared" si="57"/>
        <v>Newspapers &amp; periodicals</v>
      </c>
      <c r="C106" s="30">
        <f t="shared" si="58"/>
        <v>24.831000000000003</v>
      </c>
      <c r="D106" s="46">
        <f t="shared" si="59"/>
        <v>4.5500000000000006E-2</v>
      </c>
      <c r="E106" s="66">
        <f t="shared" si="60"/>
        <v>0.81400199848136201</v>
      </c>
      <c r="F106" s="30">
        <f t="shared" si="61"/>
        <v>23.750358680057388</v>
      </c>
      <c r="G106" s="30">
        <f t="shared" si="61"/>
        <v>1.0806413199426113</v>
      </c>
      <c r="H106" s="30">
        <f t="shared" si="61"/>
        <v>0.87964419407482253</v>
      </c>
      <c r="J106" s="9">
        <f t="shared" si="62"/>
        <v>0.11</v>
      </c>
      <c r="L106" s="77">
        <f t="shared" si="63"/>
        <v>0.84656207842061648</v>
      </c>
      <c r="M106" s="30">
        <f t="shared" si="64"/>
        <v>22.787447888091826</v>
      </c>
      <c r="N106" s="30">
        <f t="shared" si="64"/>
        <v>20.529232331614256</v>
      </c>
      <c r="O106" s="30">
        <f t="shared" si="64"/>
        <v>2.2582155564775683</v>
      </c>
      <c r="P106" s="30">
        <f t="shared" si="64"/>
        <v>1.9117196550134192</v>
      </c>
      <c r="R106" s="30">
        <f t="shared" si="65"/>
        <v>1.0320754609385967</v>
      </c>
      <c r="S106" s="46">
        <f t="shared" si="66"/>
        <v>1.1732874131274134</v>
      </c>
    </row>
    <row r="107" spans="1:19">
      <c r="B107" t="str">
        <f t="shared" si="57"/>
        <v>Pharmaceuticals</v>
      </c>
      <c r="C107" s="30">
        <f t="shared" si="58"/>
        <v>98.416200000000003</v>
      </c>
      <c r="D107" s="46">
        <f t="shared" si="59"/>
        <v>4.5499999999999999E-2</v>
      </c>
      <c r="E107" s="66">
        <f t="shared" si="60"/>
        <v>0.81400199848136201</v>
      </c>
      <c r="F107" s="30">
        <f t="shared" si="61"/>
        <v>94.133142037302719</v>
      </c>
      <c r="G107" s="30">
        <f t="shared" si="61"/>
        <v>4.2830579626972733</v>
      </c>
      <c r="H107" s="30">
        <f t="shared" si="61"/>
        <v>3.4864177412470916</v>
      </c>
      <c r="J107" s="9">
        <f t="shared" si="62"/>
        <v>0.06</v>
      </c>
      <c r="L107" s="77">
        <f t="shared" si="63"/>
        <v>0.84656207842061648</v>
      </c>
      <c r="M107" s="30">
        <f t="shared" si="64"/>
        <v>97.426625344332862</v>
      </c>
      <c r="N107" s="30">
        <f t="shared" si="64"/>
        <v>91.911910702200814</v>
      </c>
      <c r="O107" s="30">
        <f t="shared" si="64"/>
        <v>5.5147146421320485</v>
      </c>
      <c r="P107" s="30">
        <f t="shared" si="64"/>
        <v>4.6685482893399133</v>
      </c>
      <c r="R107" s="30">
        <f t="shared" si="65"/>
        <v>1.1821305480928217</v>
      </c>
      <c r="S107" s="46">
        <f t="shared" si="66"/>
        <v>0.33906738544474413</v>
      </c>
    </row>
    <row r="108" spans="1:19">
      <c r="B108" t="str">
        <f t="shared" si="57"/>
        <v>Water, electricity &amp; gas</v>
      </c>
      <c r="C108" s="30">
        <f t="shared" si="58"/>
        <v>177.60840000000002</v>
      </c>
      <c r="D108" s="46">
        <f t="shared" si="59"/>
        <v>9.0999999999999998E-2</v>
      </c>
      <c r="E108" s="66">
        <f t="shared" si="60"/>
        <v>0.81400199848136212</v>
      </c>
      <c r="F108" s="30">
        <f t="shared" si="61"/>
        <v>162.79413382218149</v>
      </c>
      <c r="G108" s="30">
        <f t="shared" si="61"/>
        <v>14.814266177818515</v>
      </c>
      <c r="H108" s="30">
        <f t="shared" si="61"/>
        <v>12.058842274779121</v>
      </c>
      <c r="J108" s="9">
        <f t="shared" si="62"/>
        <v>0.11000000000000001</v>
      </c>
      <c r="L108" s="77">
        <f t="shared" si="63"/>
        <v>0.84656207842061648</v>
      </c>
      <c r="M108" s="30">
        <f t="shared" si="64"/>
        <v>176.80419697891844</v>
      </c>
      <c r="N108" s="30">
        <f t="shared" si="64"/>
        <v>159.28306034136796</v>
      </c>
      <c r="O108" s="30">
        <f t="shared" si="64"/>
        <v>17.521136637550477</v>
      </c>
      <c r="P108" s="30">
        <f t="shared" si="64"/>
        <v>14.832729848176344</v>
      </c>
      <c r="R108" s="30">
        <f t="shared" si="65"/>
        <v>2.7738875733972232</v>
      </c>
      <c r="S108" s="46">
        <f t="shared" si="66"/>
        <v>0.23002934362934369</v>
      </c>
    </row>
    <row r="109" spans="1:19">
      <c r="B109" t="str">
        <f t="shared" si="57"/>
        <v>Alcohol</v>
      </c>
      <c r="C109" s="30">
        <f t="shared" si="58"/>
        <v>64.400400000000005</v>
      </c>
      <c r="D109" s="46">
        <f t="shared" si="59"/>
        <v>0.161</v>
      </c>
      <c r="E109" s="66">
        <f t="shared" si="60"/>
        <v>0.81400199848136201</v>
      </c>
      <c r="F109" s="30">
        <f t="shared" si="61"/>
        <v>55.469767441860469</v>
      </c>
      <c r="G109" s="30">
        <f t="shared" si="61"/>
        <v>8.9306325581395356</v>
      </c>
      <c r="H109" s="30">
        <f t="shared" si="61"/>
        <v>7.2695527500283008</v>
      </c>
      <c r="J109" s="9">
        <f t="shared" si="62"/>
        <v>0.23</v>
      </c>
      <c r="L109" s="77">
        <f t="shared" si="63"/>
        <v>0.84656207842061648</v>
      </c>
      <c r="M109" s="30">
        <f t="shared" si="64"/>
        <v>60.806458297674425</v>
      </c>
      <c r="N109" s="30">
        <f t="shared" si="64"/>
        <v>49.436144957458886</v>
      </c>
      <c r="O109" s="30">
        <f t="shared" si="64"/>
        <v>11.370313340215544</v>
      </c>
      <c r="P109" s="30">
        <f t="shared" si="64"/>
        <v>9.6256760935865326</v>
      </c>
      <c r="R109" s="30">
        <f t="shared" si="65"/>
        <v>2.3561233435582318</v>
      </c>
      <c r="S109" s="46">
        <f t="shared" si="66"/>
        <v>0.32410843205574924</v>
      </c>
    </row>
    <row r="110" spans="1:19">
      <c r="B110" t="str">
        <f t="shared" si="57"/>
        <v>Clothing and footwear</v>
      </c>
      <c r="C110" s="30">
        <f t="shared" si="58"/>
        <v>243.07680000000002</v>
      </c>
      <c r="D110" s="46">
        <f t="shared" si="59"/>
        <v>0.161</v>
      </c>
      <c r="E110" s="66">
        <f t="shared" si="60"/>
        <v>0.81400199848136201</v>
      </c>
      <c r="F110" s="30">
        <f t="shared" si="61"/>
        <v>209.36847545219641</v>
      </c>
      <c r="G110" s="30">
        <f t="shared" si="61"/>
        <v>33.70832454780362</v>
      </c>
      <c r="H110" s="30">
        <f t="shared" si="61"/>
        <v>27.4386435473705</v>
      </c>
      <c r="J110" s="9">
        <f t="shared" si="62"/>
        <v>0.23</v>
      </c>
      <c r="L110" s="77">
        <f t="shared" si="63"/>
        <v>0.84656207842061648</v>
      </c>
      <c r="M110" s="30">
        <f t="shared" si="64"/>
        <v>226.17448297674423</v>
      </c>
      <c r="N110" s="30">
        <f t="shared" si="64"/>
        <v>183.88169347702782</v>
      </c>
      <c r="O110" s="30">
        <f t="shared" si="64"/>
        <v>42.292789499716399</v>
      </c>
      <c r="P110" s="30">
        <f t="shared" si="64"/>
        <v>35.803471781085541</v>
      </c>
      <c r="R110" s="30">
        <f t="shared" si="65"/>
        <v>8.3648282337150413</v>
      </c>
      <c r="S110" s="46">
        <f t="shared" si="66"/>
        <v>0.30485574912892011</v>
      </c>
    </row>
    <row r="111" spans="1:19">
      <c r="B111" t="str">
        <f t="shared" si="57"/>
        <v>Fuel</v>
      </c>
      <c r="C111" s="30">
        <f t="shared" si="58"/>
        <v>262.35419999999999</v>
      </c>
      <c r="D111" s="46">
        <f t="shared" si="59"/>
        <v>0.161</v>
      </c>
      <c r="E111" s="66">
        <f t="shared" si="60"/>
        <v>0.81400199848136201</v>
      </c>
      <c r="F111" s="30">
        <f t="shared" si="61"/>
        <v>225.97260981912143</v>
      </c>
      <c r="G111" s="30">
        <f t="shared" si="61"/>
        <v>36.381590180878554</v>
      </c>
      <c r="H111" s="30">
        <f t="shared" si="61"/>
        <v>29.61468711516504</v>
      </c>
      <c r="J111" s="9">
        <f t="shared" si="62"/>
        <v>0.23</v>
      </c>
      <c r="L111" s="77">
        <f t="shared" si="63"/>
        <v>0.84656207842061637</v>
      </c>
      <c r="M111" s="30">
        <f t="shared" si="64"/>
        <v>258.30025137984495</v>
      </c>
      <c r="N111" s="30">
        <f t="shared" si="64"/>
        <v>210.00020437385768</v>
      </c>
      <c r="O111" s="30">
        <f t="shared" si="64"/>
        <v>48.300047005987267</v>
      </c>
      <c r="P111" s="30">
        <f t="shared" si="64"/>
        <v>40.888988181202052</v>
      </c>
      <c r="R111" s="30">
        <f t="shared" si="65"/>
        <v>11.274301066037012</v>
      </c>
      <c r="S111" s="46">
        <f t="shared" si="66"/>
        <v>0.38069965156794394</v>
      </c>
    </row>
    <row r="112" spans="1:19">
      <c r="B112" t="str">
        <f t="shared" si="57"/>
        <v>Hotels</v>
      </c>
      <c r="C112" s="30">
        <f>C31+C67</f>
        <v>1134.4682507217997</v>
      </c>
      <c r="D112" s="46">
        <f t="shared" si="59"/>
        <v>4.5499999999999992E-2</v>
      </c>
      <c r="E112" s="66">
        <f t="shared" si="60"/>
        <v>0.81400199848136212</v>
      </c>
      <c r="F112" s="30">
        <f t="shared" ref="F112:H113" si="67">F31+F67</f>
        <v>1085.0963660658053</v>
      </c>
      <c r="G112" s="30">
        <f t="shared" si="67"/>
        <v>49.371884655994137</v>
      </c>
      <c r="H112" s="30">
        <f t="shared" si="67"/>
        <v>40.188812778770526</v>
      </c>
      <c r="J112" s="9">
        <f t="shared" si="62"/>
        <v>0.11000000000000001</v>
      </c>
      <c r="L112" s="77">
        <f t="shared" si="63"/>
        <v>0.84656207842061648</v>
      </c>
      <c r="M112" s="30">
        <f t="shared" ref="M112:P113" si="68">M31+M67</f>
        <v>1117.8809251219348</v>
      </c>
      <c r="N112" s="30">
        <f t="shared" si="68"/>
        <v>1007.0999325422833</v>
      </c>
      <c r="O112" s="30">
        <f t="shared" si="68"/>
        <v>110.78099257965118</v>
      </c>
      <c r="P112" s="30">
        <f t="shared" si="68"/>
        <v>93.782987327728392</v>
      </c>
      <c r="R112" s="30">
        <f>R31+R67</f>
        <v>53.594174548957881</v>
      </c>
      <c r="S112" s="46">
        <f t="shared" si="66"/>
        <v>1.3335595366795365</v>
      </c>
    </row>
    <row r="113" spans="1:19">
      <c r="B113" t="str">
        <f t="shared" si="57"/>
        <v>Restaurants</v>
      </c>
      <c r="C113" s="30">
        <f>C32+C68</f>
        <v>1612.1830620228004</v>
      </c>
      <c r="D113" s="46">
        <f t="shared" si="59"/>
        <v>9.0999999999999998E-2</v>
      </c>
      <c r="E113" s="66">
        <f t="shared" si="60"/>
        <v>0.81400199848136212</v>
      </c>
      <c r="F113" s="30">
        <f t="shared" si="67"/>
        <v>1477.7113309099914</v>
      </c>
      <c r="G113" s="30">
        <f t="shared" si="67"/>
        <v>134.47173111280921</v>
      </c>
      <c r="H113" s="30">
        <f t="shared" si="67"/>
        <v>109.46025786507505</v>
      </c>
      <c r="J113" s="9">
        <f t="shared" si="62"/>
        <v>0.10999999999999999</v>
      </c>
      <c r="L113" s="77">
        <f t="shared" si="63"/>
        <v>0.84656207842061648</v>
      </c>
      <c r="M113" s="30">
        <f t="shared" si="68"/>
        <v>1605.5289278997127</v>
      </c>
      <c r="N113" s="30">
        <f t="shared" si="68"/>
        <v>1446.4224575673088</v>
      </c>
      <c r="O113" s="30">
        <f t="shared" si="68"/>
        <v>159.10647033240394</v>
      </c>
      <c r="P113" s="30">
        <f t="shared" si="68"/>
        <v>134.69350421476804</v>
      </c>
      <c r="R113" s="30">
        <f>R32+R68</f>
        <v>25.233246349693005</v>
      </c>
      <c r="S113" s="46">
        <f t="shared" si="66"/>
        <v>0.23052427284427246</v>
      </c>
    </row>
    <row r="114" spans="1:19">
      <c r="B114" t="str">
        <f t="shared" si="57"/>
        <v>Tobacco</v>
      </c>
      <c r="C114" s="30">
        <f>C33</f>
        <v>239.12520000000001</v>
      </c>
      <c r="D114" s="46">
        <f t="shared" si="59"/>
        <v>0.16099999999999998</v>
      </c>
      <c r="E114" s="66">
        <f t="shared" si="60"/>
        <v>0.81400199848136201</v>
      </c>
      <c r="F114" s="30">
        <f>F33</f>
        <v>205.96485788113696</v>
      </c>
      <c r="G114" s="30">
        <f>G33</f>
        <v>33.160342118863049</v>
      </c>
      <c r="H114" s="30">
        <f>H33</f>
        <v>26.992584755080205</v>
      </c>
      <c r="J114" s="9">
        <f t="shared" si="62"/>
        <v>0.23000000000000004</v>
      </c>
      <c r="L114" s="77">
        <f t="shared" si="63"/>
        <v>0.84656207842061659</v>
      </c>
      <c r="M114" s="30">
        <f>M33</f>
        <v>217.58045200620157</v>
      </c>
      <c r="N114" s="30">
        <f>N33</f>
        <v>176.89467642780616</v>
      </c>
      <c r="O114" s="30">
        <f>O33</f>
        <v>40.685775578395422</v>
      </c>
      <c r="P114" s="30">
        <f>P33</f>
        <v>34.443034735801191</v>
      </c>
      <c r="R114" s="30">
        <f>R33</f>
        <v>7.4504499807209861</v>
      </c>
      <c r="S114" s="46">
        <f t="shared" si="66"/>
        <v>0.27601839721254384</v>
      </c>
    </row>
    <row r="115" spans="1:19">
      <c r="B115" t="str">
        <f t="shared" si="57"/>
        <v>Rest of 13% products &amp; services</v>
      </c>
      <c r="C115" s="30">
        <f>C34+C69+C71</f>
        <v>1173.625270958612</v>
      </c>
      <c r="D115" s="46">
        <f t="shared" si="59"/>
        <v>9.1000000000000011E-2</v>
      </c>
      <c r="E115" s="66">
        <f t="shared" si="60"/>
        <v>0.81400199848136212</v>
      </c>
      <c r="F115" s="30">
        <f>F34+F69+F71</f>
        <v>1075.7335205853456</v>
      </c>
      <c r="G115" s="30">
        <f>G34+G69+G71</f>
        <v>97.891750373266461</v>
      </c>
      <c r="H115" s="30">
        <f>H34+H69+H71</f>
        <v>79.684080438677526</v>
      </c>
      <c r="J115" s="9">
        <f t="shared" si="62"/>
        <v>0.22999999999999998</v>
      </c>
      <c r="L115" s="77">
        <f t="shared" si="63"/>
        <v>0.84656207842061648</v>
      </c>
      <c r="M115" s="30">
        <f>M34+M69+M71</f>
        <v>988.62943040888172</v>
      </c>
      <c r="N115" s="30">
        <f>N34+N69+N71</f>
        <v>803.76376456006653</v>
      </c>
      <c r="O115" s="30">
        <f>O34+O69+O71</f>
        <v>184.8656658488153</v>
      </c>
      <c r="P115" s="30">
        <f>P34+P69+P71</f>
        <v>156.50026230958426</v>
      </c>
      <c r="R115" s="30">
        <f>R34+R69+R71</f>
        <v>76.816181870906746</v>
      </c>
      <c r="S115" s="46">
        <f t="shared" si="66"/>
        <v>0.9640091401948494</v>
      </c>
    </row>
    <row r="116" spans="1:19">
      <c r="B116" t="str">
        <f t="shared" si="57"/>
        <v>Rest of 23% products &amp; services</v>
      </c>
      <c r="C116" s="30">
        <f>C35+C70</f>
        <v>2373.6629597888477</v>
      </c>
      <c r="D116" s="46">
        <f t="shared" si="59"/>
        <v>0.161</v>
      </c>
      <c r="E116" s="66">
        <f t="shared" si="60"/>
        <v>0.81400199848136212</v>
      </c>
      <c r="F116" s="30">
        <f>F35+F70</f>
        <v>2044.4986733754072</v>
      </c>
      <c r="G116" s="30">
        <f>G35+G70</f>
        <v>329.16428641344055</v>
      </c>
      <c r="H116" s="30">
        <f>H35+H70</f>
        <v>267.94038696923207</v>
      </c>
      <c r="J116" s="9">
        <f t="shared" si="62"/>
        <v>0.23</v>
      </c>
      <c r="L116" s="77">
        <f t="shared" si="63"/>
        <v>0.84656207842061648</v>
      </c>
      <c r="M116" s="30">
        <f>M35+M70</f>
        <v>2194.0336144978164</v>
      </c>
      <c r="N116" s="30">
        <f>N35+N70</f>
        <v>1783.7671662583873</v>
      </c>
      <c r="O116" s="30">
        <f>O35+O70</f>
        <v>410.26644823942911</v>
      </c>
      <c r="P116" s="30">
        <f>P35+P70</f>
        <v>347.31601712781537</v>
      </c>
      <c r="R116" s="30">
        <f>R35+R70</f>
        <v>79.37563015858332</v>
      </c>
      <c r="S116" s="46">
        <f t="shared" si="66"/>
        <v>0.29624361992019566</v>
      </c>
    </row>
    <row r="117" spans="1:19">
      <c r="B117" t="str">
        <f t="shared" si="57"/>
        <v>Products &amp; services where VAT not applied</v>
      </c>
      <c r="C117" s="30">
        <f>C36</f>
        <v>1810.527</v>
      </c>
      <c r="D117" s="46">
        <f>G117/F117</f>
        <v>0</v>
      </c>
      <c r="E117" s="66"/>
      <c r="F117" s="30">
        <f>F36</f>
        <v>1810.527</v>
      </c>
      <c r="G117" s="30">
        <f>G36</f>
        <v>0</v>
      </c>
      <c r="H117" s="30">
        <f>H36</f>
        <v>0</v>
      </c>
      <c r="J117" s="9">
        <f t="shared" si="62"/>
        <v>0</v>
      </c>
      <c r="L117" s="77"/>
      <c r="M117" s="30">
        <f>M36</f>
        <v>1810.527</v>
      </c>
      <c r="N117" s="30">
        <f>N36</f>
        <v>1810.527</v>
      </c>
      <c r="O117" s="30">
        <f>O36</f>
        <v>0</v>
      </c>
      <c r="P117" s="30">
        <f>P36</f>
        <v>0</v>
      </c>
      <c r="R117" s="30">
        <f>R36</f>
        <v>0</v>
      </c>
      <c r="S117" s="46"/>
    </row>
    <row r="118" spans="1:19">
      <c r="A118" t="s">
        <v>101</v>
      </c>
      <c r="C118" s="30">
        <f>SUM(C103:C117)</f>
        <v>10413.00194349206</v>
      </c>
      <c r="D118" s="46">
        <f>SUMPRODUCT(F103:F116,D103:D116)/(F118-F117)</f>
        <v>0.10855780296576535</v>
      </c>
      <c r="E118" s="66">
        <f>H118/G118</f>
        <v>0.81400199848136201</v>
      </c>
      <c r="F118" s="30">
        <f>SUM(F103:F117)</f>
        <v>9570.5868908577813</v>
      </c>
      <c r="G118" s="30">
        <f>SUM(G103:G117)</f>
        <v>842.41505263427757</v>
      </c>
      <c r="H118" s="30">
        <f>SUM(H103:H117)</f>
        <v>685.72753639508369</v>
      </c>
      <c r="J118" s="9">
        <f>SUMPRODUCT(J103:J116,N103:N116)/(N118-N117)</f>
        <v>0.16417377956230134</v>
      </c>
      <c r="L118" s="77">
        <f>P118/O118</f>
        <v>0.84656207842061637</v>
      </c>
      <c r="M118" s="30">
        <f>SUM(M103:M117)</f>
        <v>9963.0845361835854</v>
      </c>
      <c r="N118" s="30">
        <f>SUM(N103:N117)</f>
        <v>8813.3969145317751</v>
      </c>
      <c r="O118" s="30">
        <f>SUM(O103:O117)</f>
        <v>1149.6876216518117</v>
      </c>
      <c r="P118" s="30">
        <f>SUM(P103:P117)</f>
        <v>973.28194252001288</v>
      </c>
      <c r="R118" s="30">
        <f>SUM(R103:R117)</f>
        <v>287.55440612492924</v>
      </c>
      <c r="S118" s="46">
        <f>P118/H118-1</f>
        <v>0.41934207227060227</v>
      </c>
    </row>
    <row r="119" spans="1:19">
      <c r="B119" t="s">
        <v>91</v>
      </c>
      <c r="C119" s="30">
        <f>C37+C72</f>
        <v>10413.001943492061</v>
      </c>
      <c r="F119" s="30"/>
      <c r="G119" s="30"/>
      <c r="H119" s="30"/>
      <c r="M119" s="30"/>
      <c r="N119" s="30"/>
      <c r="O119" s="30"/>
      <c r="P119" s="30"/>
      <c r="R119" s="30"/>
      <c r="S119" s="30"/>
    </row>
    <row r="121" spans="1:19">
      <c r="A121" t="s">
        <v>102</v>
      </c>
    </row>
    <row r="122" spans="1:19">
      <c r="B122" t="str">
        <f t="shared" ref="B122:B136" si="69">B4</f>
        <v>Bread &amp; milk</v>
      </c>
      <c r="C122" s="30">
        <f t="shared" ref="C122:C136" si="70">C84+C103</f>
        <v>7407</v>
      </c>
      <c r="D122" s="46">
        <f t="shared" ref="D122:D135" si="71">G122/F122</f>
        <v>0.12784706297584467</v>
      </c>
      <c r="E122" s="66">
        <f t="shared" ref="E122:E135" si="72">H122/G122</f>
        <v>0.81400199848136201</v>
      </c>
      <c r="F122" s="30">
        <f t="shared" ref="F122:H136" si="73">F84+F103</f>
        <v>6567.3797832628989</v>
      </c>
      <c r="G122" s="30">
        <f t="shared" si="73"/>
        <v>839.62021673710092</v>
      </c>
      <c r="H122" s="30">
        <f t="shared" si="73"/>
        <v>683.45253438935447</v>
      </c>
      <c r="J122" s="9">
        <f t="shared" ref="J122:J136" si="74">O122/N122</f>
        <v>0.10999999999999999</v>
      </c>
      <c r="L122" s="21">
        <f t="shared" ref="L122:L135" si="75">P122/O122</f>
        <v>0.84656207842061648</v>
      </c>
      <c r="M122" s="30">
        <f t="shared" ref="M122:P136" si="76">M84+M103</f>
        <v>7474.0432280107198</v>
      </c>
      <c r="N122" s="30">
        <f t="shared" si="76"/>
        <v>6733.3722774871339</v>
      </c>
      <c r="O122" s="30">
        <f t="shared" si="76"/>
        <v>740.67095052358468</v>
      </c>
      <c r="P122" s="30">
        <f t="shared" si="76"/>
        <v>627.02393930101948</v>
      </c>
      <c r="R122" s="30">
        <f t="shared" ref="R122:R136" si="77">R84+R103</f>
        <v>-56.428595088334987</v>
      </c>
      <c r="S122" s="46">
        <f t="shared" ref="S122:S135" si="78">P122/H122-1</f>
        <v>-8.2564029320269294E-2</v>
      </c>
    </row>
    <row r="123" spans="1:19">
      <c r="B123" t="str">
        <f t="shared" si="69"/>
        <v>Other food</v>
      </c>
      <c r="C123" s="30">
        <f t="shared" si="70"/>
        <v>14652</v>
      </c>
      <c r="D123" s="46">
        <f t="shared" si="71"/>
        <v>0.12784706297584464</v>
      </c>
      <c r="E123" s="66">
        <f t="shared" si="72"/>
        <v>0.81400199848136201</v>
      </c>
      <c r="F123" s="30">
        <f t="shared" si="73"/>
        <v>12991.123070658567</v>
      </c>
      <c r="G123" s="30">
        <f t="shared" si="73"/>
        <v>1660.8769293414341</v>
      </c>
      <c r="H123" s="30">
        <f t="shared" si="73"/>
        <v>1351.9571397155153</v>
      </c>
      <c r="J123" s="9">
        <f t="shared" si="74"/>
        <v>0.11</v>
      </c>
      <c r="L123" s="21">
        <f t="shared" si="75"/>
        <v>0.84656207842061637</v>
      </c>
      <c r="M123" s="30">
        <f t="shared" si="76"/>
        <v>14784.620139977462</v>
      </c>
      <c r="N123" s="30">
        <f t="shared" si="76"/>
        <v>13319.477603583298</v>
      </c>
      <c r="O123" s="30">
        <f t="shared" si="76"/>
        <v>1465.1425363941628</v>
      </c>
      <c r="P123" s="30">
        <f t="shared" si="76"/>
        <v>1240.3341107922961</v>
      </c>
      <c r="R123" s="30">
        <f t="shared" si="77"/>
        <v>-111.62302892321915</v>
      </c>
      <c r="S123" s="46">
        <f t="shared" si="78"/>
        <v>-8.2564029320269294E-2</v>
      </c>
    </row>
    <row r="124" spans="1:19">
      <c r="B124" t="str">
        <f t="shared" si="69"/>
        <v>Books</v>
      </c>
      <c r="C124" s="30">
        <f t="shared" si="70"/>
        <v>389</v>
      </c>
      <c r="D124" s="46">
        <f t="shared" si="71"/>
        <v>6.3940333745070549E-2</v>
      </c>
      <c r="E124" s="66">
        <f t="shared" si="72"/>
        <v>0.81400199848136201</v>
      </c>
      <c r="F124" s="30">
        <f t="shared" si="73"/>
        <v>365.6220068570197</v>
      </c>
      <c r="G124" s="30">
        <f t="shared" si="73"/>
        <v>23.377993142980312</v>
      </c>
      <c r="H124" s="30">
        <f t="shared" si="73"/>
        <v>19.029733138869553</v>
      </c>
      <c r="J124" s="9">
        <f t="shared" si="74"/>
        <v>5.9999999999999991E-2</v>
      </c>
      <c r="L124" s="21">
        <f t="shared" si="75"/>
        <v>0.84656207842061648</v>
      </c>
      <c r="M124" s="30">
        <f t="shared" si="76"/>
        <v>390.92185742389984</v>
      </c>
      <c r="N124" s="30">
        <f t="shared" si="76"/>
        <v>368.79420511688664</v>
      </c>
      <c r="O124" s="30">
        <f t="shared" si="76"/>
        <v>22.127652307013197</v>
      </c>
      <c r="P124" s="30">
        <f t="shared" si="76"/>
        <v>18.73243132759384</v>
      </c>
      <c r="R124" s="30">
        <f t="shared" si="77"/>
        <v>-0.29730181127571187</v>
      </c>
      <c r="S124" s="46">
        <f t="shared" si="78"/>
        <v>-1.5623015262807516E-2</v>
      </c>
    </row>
    <row r="125" spans="1:19">
      <c r="B125" t="str">
        <f t="shared" si="69"/>
        <v>Newspapers &amp; periodicals</v>
      </c>
      <c r="C125" s="30">
        <f t="shared" si="70"/>
        <v>465</v>
      </c>
      <c r="D125" s="46">
        <f t="shared" si="71"/>
        <v>6.3940333745070549E-2</v>
      </c>
      <c r="E125" s="66">
        <f t="shared" si="72"/>
        <v>0.8140019984813619</v>
      </c>
      <c r="F125" s="30">
        <f t="shared" si="73"/>
        <v>437.05458403217006</v>
      </c>
      <c r="G125" s="30">
        <f t="shared" si="73"/>
        <v>27.945415967829934</v>
      </c>
      <c r="H125" s="30">
        <f t="shared" si="73"/>
        <v>22.74762444620653</v>
      </c>
      <c r="J125" s="9">
        <f t="shared" si="74"/>
        <v>0.11</v>
      </c>
      <c r="L125" s="21">
        <f t="shared" si="75"/>
        <v>0.84656207842061648</v>
      </c>
      <c r="M125" s="30">
        <f t="shared" si="76"/>
        <v>438.14579524020439</v>
      </c>
      <c r="N125" s="30">
        <f t="shared" si="76"/>
        <v>394.72594165784176</v>
      </c>
      <c r="O125" s="30">
        <f t="shared" si="76"/>
        <v>43.419853582362592</v>
      </c>
      <c r="P125" s="30">
        <f t="shared" si="76"/>
        <v>36.757601493403726</v>
      </c>
      <c r="R125" s="30">
        <f t="shared" si="77"/>
        <v>14.009977047197193</v>
      </c>
      <c r="S125" s="46">
        <f t="shared" si="78"/>
        <v>0.6158874778475405</v>
      </c>
    </row>
    <row r="126" spans="1:19">
      <c r="B126" t="str">
        <f t="shared" si="69"/>
        <v>Pharmaceuticals</v>
      </c>
      <c r="C126" s="30">
        <f t="shared" si="70"/>
        <v>1843</v>
      </c>
      <c r="D126" s="46">
        <f t="shared" si="71"/>
        <v>6.3940333745070549E-2</v>
      </c>
      <c r="E126" s="66">
        <f t="shared" si="72"/>
        <v>0.81400199848136212</v>
      </c>
      <c r="F126" s="30">
        <f t="shared" si="73"/>
        <v>1732.2399964973965</v>
      </c>
      <c r="G126" s="30">
        <f t="shared" si="73"/>
        <v>110.76000350260338</v>
      </c>
      <c r="H126" s="30">
        <f t="shared" si="73"/>
        <v>90.158864202921819</v>
      </c>
      <c r="J126" s="9">
        <f t="shared" si="74"/>
        <v>5.9999999999999991E-2</v>
      </c>
      <c r="L126" s="21">
        <f t="shared" si="75"/>
        <v>0.84656207842061648</v>
      </c>
      <c r="M126" s="30">
        <f t="shared" si="76"/>
        <v>1847.9485626917506</v>
      </c>
      <c r="N126" s="30">
        <f t="shared" si="76"/>
        <v>1743.3477006525948</v>
      </c>
      <c r="O126" s="30">
        <f t="shared" si="76"/>
        <v>104.60086203915567</v>
      </c>
      <c r="P126" s="30">
        <f t="shared" si="76"/>
        <v>88.551123172455789</v>
      </c>
      <c r="R126" s="30">
        <f t="shared" si="77"/>
        <v>-1.6077410304660233</v>
      </c>
      <c r="S126" s="46">
        <f t="shared" si="78"/>
        <v>-1.7832312381924731E-2</v>
      </c>
    </row>
    <row r="127" spans="1:19">
      <c r="B127" t="str">
        <f t="shared" si="69"/>
        <v>Water, electricity &amp; gas</v>
      </c>
      <c r="C127" s="30">
        <f t="shared" si="70"/>
        <v>3326</v>
      </c>
      <c r="D127" s="46">
        <f t="shared" si="71"/>
        <v>0.12784706297584464</v>
      </c>
      <c r="E127" s="66">
        <f t="shared" si="72"/>
        <v>0.81400199848136201</v>
      </c>
      <c r="F127" s="30">
        <f t="shared" si="73"/>
        <v>2948.9813904593502</v>
      </c>
      <c r="G127" s="30">
        <f t="shared" si="73"/>
        <v>377.01860954065046</v>
      </c>
      <c r="H127" s="30">
        <f t="shared" si="73"/>
        <v>306.89390163075376</v>
      </c>
      <c r="J127" s="9">
        <f t="shared" si="74"/>
        <v>0.10999999999999999</v>
      </c>
      <c r="L127" s="21">
        <f t="shared" si="75"/>
        <v>0.8465620784206167</v>
      </c>
      <c r="M127" s="30">
        <f t="shared" si="76"/>
        <v>3339.6839707134313</v>
      </c>
      <c r="N127" s="30">
        <f t="shared" si="76"/>
        <v>3008.7242979400285</v>
      </c>
      <c r="O127" s="30">
        <f t="shared" si="76"/>
        <v>330.9596727734031</v>
      </c>
      <c r="P127" s="30">
        <f t="shared" si="76"/>
        <v>280.17790845645931</v>
      </c>
      <c r="R127" s="30">
        <f t="shared" si="77"/>
        <v>-26.715993174294475</v>
      </c>
      <c r="S127" s="46">
        <f t="shared" si="78"/>
        <v>-8.7052864303697963E-2</v>
      </c>
    </row>
    <row r="128" spans="1:19">
      <c r="B128" t="str">
        <f t="shared" si="69"/>
        <v>Alcohol</v>
      </c>
      <c r="C128" s="30">
        <f t="shared" si="70"/>
        <v>1206</v>
      </c>
      <c r="D128" s="46">
        <f t="shared" si="71"/>
        <v>0.2261087679874878</v>
      </c>
      <c r="E128" s="66">
        <f t="shared" si="72"/>
        <v>0.81400199848136212</v>
      </c>
      <c r="F128" s="30">
        <f t="shared" si="73"/>
        <v>983.5995235394214</v>
      </c>
      <c r="G128" s="30">
        <f t="shared" si="73"/>
        <v>222.40047646057857</v>
      </c>
      <c r="H128" s="30">
        <f t="shared" si="73"/>
        <v>181.03443230211809</v>
      </c>
      <c r="J128" s="9">
        <f t="shared" si="74"/>
        <v>0.23000000000000004</v>
      </c>
      <c r="L128" s="21">
        <f t="shared" si="75"/>
        <v>0.84656207842061648</v>
      </c>
      <c r="M128" s="30">
        <f t="shared" si="76"/>
        <v>1202.4060582976745</v>
      </c>
      <c r="N128" s="30">
        <f t="shared" si="76"/>
        <v>977.56590105501982</v>
      </c>
      <c r="O128" s="30">
        <f t="shared" si="76"/>
        <v>224.84015724265458</v>
      </c>
      <c r="P128" s="30">
        <f t="shared" si="76"/>
        <v>190.34115082775989</v>
      </c>
      <c r="R128" s="30">
        <f t="shared" si="77"/>
        <v>9.3067185256418199</v>
      </c>
      <c r="S128" s="46">
        <f t="shared" si="78"/>
        <v>5.1408554755541402E-2</v>
      </c>
    </row>
    <row r="129" spans="1:19">
      <c r="B129" t="str">
        <f t="shared" si="69"/>
        <v>Clothing and footwear</v>
      </c>
      <c r="C129" s="30">
        <f t="shared" si="70"/>
        <v>4552</v>
      </c>
      <c r="D129" s="46">
        <f t="shared" si="71"/>
        <v>0.22610876798748777</v>
      </c>
      <c r="E129" s="66">
        <f t="shared" si="72"/>
        <v>0.81400199848136201</v>
      </c>
      <c r="F129" s="30">
        <f t="shared" si="73"/>
        <v>3712.5580689481317</v>
      </c>
      <c r="G129" s="30">
        <f t="shared" si="73"/>
        <v>839.44193105186878</v>
      </c>
      <c r="H129" s="30">
        <f t="shared" si="73"/>
        <v>683.30740948527489</v>
      </c>
      <c r="J129" s="9">
        <f t="shared" si="74"/>
        <v>0.23</v>
      </c>
      <c r="L129" s="21">
        <f t="shared" si="75"/>
        <v>0.84656207842061659</v>
      </c>
      <c r="M129" s="30">
        <f t="shared" si="76"/>
        <v>4535.0976829767442</v>
      </c>
      <c r="N129" s="30">
        <f t="shared" si="76"/>
        <v>3687.0712869729632</v>
      </c>
      <c r="O129" s="30">
        <f t="shared" si="76"/>
        <v>848.02639600378154</v>
      </c>
      <c r="P129" s="30">
        <f t="shared" si="76"/>
        <v>717.90698835650619</v>
      </c>
      <c r="R129" s="30">
        <f t="shared" si="77"/>
        <v>34.59957887123123</v>
      </c>
      <c r="S129" s="46">
        <f t="shared" si="78"/>
        <v>5.0635451029712453E-2</v>
      </c>
    </row>
    <row r="130" spans="1:19">
      <c r="B130" t="str">
        <f t="shared" si="69"/>
        <v>Fuel</v>
      </c>
      <c r="C130" s="30">
        <f t="shared" si="70"/>
        <v>4913</v>
      </c>
      <c r="D130" s="46">
        <f t="shared" si="71"/>
        <v>0.2261087679874878</v>
      </c>
      <c r="E130" s="66">
        <f t="shared" si="72"/>
        <v>0.8140019984813619</v>
      </c>
      <c r="F130" s="30">
        <f t="shared" si="73"/>
        <v>4006.985455347577</v>
      </c>
      <c r="G130" s="30">
        <f t="shared" si="73"/>
        <v>906.01454465242341</v>
      </c>
      <c r="H130" s="30">
        <f t="shared" si="73"/>
        <v>737.49765000025377</v>
      </c>
      <c r="J130" s="9">
        <f t="shared" si="74"/>
        <v>0.23</v>
      </c>
      <c r="L130" s="21">
        <f t="shared" si="75"/>
        <v>0.84656207842061648</v>
      </c>
      <c r="M130" s="30">
        <f t="shared" si="76"/>
        <v>4908.9460513798449</v>
      </c>
      <c r="N130" s="30">
        <f t="shared" si="76"/>
        <v>3991.0130499023135</v>
      </c>
      <c r="O130" s="30">
        <f t="shared" si="76"/>
        <v>917.93300147753212</v>
      </c>
      <c r="P130" s="30">
        <f t="shared" si="76"/>
        <v>777.08726958169439</v>
      </c>
      <c r="R130" s="30">
        <f t="shared" si="77"/>
        <v>39.589619581440544</v>
      </c>
      <c r="S130" s="46">
        <f t="shared" si="78"/>
        <v>5.3681011161767156E-2</v>
      </c>
    </row>
    <row r="131" spans="1:19">
      <c r="B131" t="str">
        <f t="shared" si="69"/>
        <v>Hotels</v>
      </c>
      <c r="C131" s="30">
        <f t="shared" si="70"/>
        <v>7273.8244803695152</v>
      </c>
      <c r="D131" s="46">
        <f t="shared" si="71"/>
        <v>6.1910926848329988E-2</v>
      </c>
      <c r="E131" s="66">
        <f t="shared" si="72"/>
        <v>0.81400199848136212</v>
      </c>
      <c r="F131" s="30">
        <f t="shared" si="73"/>
        <v>6849.7501028242241</v>
      </c>
      <c r="G131" s="30">
        <f t="shared" si="73"/>
        <v>424.07437754529133</v>
      </c>
      <c r="H131" s="30">
        <f t="shared" si="73"/>
        <v>345.19739082660681</v>
      </c>
      <c r="J131" s="9">
        <f t="shared" si="74"/>
        <v>0.11</v>
      </c>
      <c r="L131" s="21">
        <f t="shared" si="75"/>
        <v>0.84656207842061637</v>
      </c>
      <c r="M131" s="30">
        <f t="shared" si="76"/>
        <v>7195.7571226671216</v>
      </c>
      <c r="N131" s="30">
        <f t="shared" si="76"/>
        <v>6482.6640744748838</v>
      </c>
      <c r="O131" s="30">
        <f t="shared" si="76"/>
        <v>713.09304819223723</v>
      </c>
      <c r="P131" s="30">
        <f t="shared" si="76"/>
        <v>603.67753298491311</v>
      </c>
      <c r="R131" s="30">
        <f t="shared" si="77"/>
        <v>258.48014215830642</v>
      </c>
      <c r="S131" s="46">
        <f t="shared" si="78"/>
        <v>0.74878938551462371</v>
      </c>
    </row>
    <row r="132" spans="1:19">
      <c r="B132" t="str">
        <f t="shared" si="69"/>
        <v>Restaurants</v>
      </c>
      <c r="C132" s="30">
        <f t="shared" si="70"/>
        <v>17432.145496535795</v>
      </c>
      <c r="D132" s="46">
        <f t="shared" si="71"/>
        <v>0.12627652535599238</v>
      </c>
      <c r="E132" s="66">
        <f t="shared" si="72"/>
        <v>0.8140019984813619</v>
      </c>
      <c r="F132" s="30">
        <f t="shared" si="73"/>
        <v>15477.678087116183</v>
      </c>
      <c r="G132" s="30">
        <f t="shared" si="73"/>
        <v>1954.4674094196143</v>
      </c>
      <c r="H132" s="30">
        <f t="shared" si="73"/>
        <v>1590.9403772342562</v>
      </c>
      <c r="J132" s="9">
        <f t="shared" si="74"/>
        <v>0.10999999999999999</v>
      </c>
      <c r="L132" s="21">
        <f t="shared" si="75"/>
        <v>0.84656207842061659</v>
      </c>
      <c r="M132" s="30">
        <f t="shared" si="76"/>
        <v>17491.851204837123</v>
      </c>
      <c r="N132" s="30">
        <f t="shared" si="76"/>
        <v>15758.424508862274</v>
      </c>
      <c r="O132" s="30">
        <f t="shared" si="76"/>
        <v>1733.42669597485</v>
      </c>
      <c r="P132" s="30">
        <f t="shared" si="76"/>
        <v>1467.4533065342512</v>
      </c>
      <c r="R132" s="30">
        <f t="shared" si="77"/>
        <v>-123.48707070000513</v>
      </c>
      <c r="S132" s="46">
        <f t="shared" si="78"/>
        <v>-7.7618918010415316E-2</v>
      </c>
    </row>
    <row r="133" spans="1:19">
      <c r="B133" t="str">
        <f t="shared" si="69"/>
        <v>Tobacco</v>
      </c>
      <c r="C133" s="30">
        <f t="shared" si="70"/>
        <v>4478</v>
      </c>
      <c r="D133" s="46">
        <f t="shared" si="71"/>
        <v>0.22610876798748777</v>
      </c>
      <c r="E133" s="66">
        <f t="shared" si="72"/>
        <v>0.81400199848136212</v>
      </c>
      <c r="F133" s="30">
        <f t="shared" si="73"/>
        <v>3652.2045326778848</v>
      </c>
      <c r="G133" s="30">
        <f t="shared" si="73"/>
        <v>825.79546732211509</v>
      </c>
      <c r="H133" s="30">
        <f t="shared" si="73"/>
        <v>672.19916073705201</v>
      </c>
      <c r="J133" s="9">
        <f t="shared" si="74"/>
        <v>0.23000000000000004</v>
      </c>
      <c r="L133" s="21">
        <f t="shared" si="75"/>
        <v>0.84656207842061648</v>
      </c>
      <c r="M133" s="30">
        <f t="shared" si="76"/>
        <v>4456.4552520062016</v>
      </c>
      <c r="N133" s="30">
        <f t="shared" si="76"/>
        <v>3623.1343512245539</v>
      </c>
      <c r="O133" s="30">
        <f t="shared" si="76"/>
        <v>833.32090078164754</v>
      </c>
      <c r="P133" s="30">
        <f t="shared" si="76"/>
        <v>705.45787375705186</v>
      </c>
      <c r="R133" s="30">
        <f t="shared" si="77"/>
        <v>33.258713019999803</v>
      </c>
      <c r="S133" s="46">
        <f t="shared" si="78"/>
        <v>4.947746882565629E-2</v>
      </c>
    </row>
    <row r="134" spans="1:19">
      <c r="B134" t="str">
        <f t="shared" si="69"/>
        <v>Rest of 13% products &amp; services</v>
      </c>
      <c r="C134" s="30">
        <f t="shared" si="70"/>
        <v>12221.464203233256</v>
      </c>
      <c r="D134" s="46">
        <f t="shared" si="71"/>
        <v>0.12613422807698307</v>
      </c>
      <c r="E134" s="66">
        <f t="shared" si="72"/>
        <v>0.81400199848136201</v>
      </c>
      <c r="F134" s="30">
        <f t="shared" si="73"/>
        <v>10852.582133217773</v>
      </c>
      <c r="G134" s="30">
        <f t="shared" si="73"/>
        <v>1368.8820700154822</v>
      </c>
      <c r="H134" s="30">
        <f t="shared" si="73"/>
        <v>1114.2727406779063</v>
      </c>
      <c r="J134" s="9">
        <f t="shared" si="74"/>
        <v>0.23000000000000004</v>
      </c>
      <c r="L134" s="21">
        <f t="shared" si="75"/>
        <v>0.84656207842061648</v>
      </c>
      <c r="M134" s="30">
        <f t="shared" si="76"/>
        <v>11063.331449507195</v>
      </c>
      <c r="N134" s="30">
        <f t="shared" si="76"/>
        <v>8994.5784142334905</v>
      </c>
      <c r="O134" s="30">
        <f t="shared" si="76"/>
        <v>2068.7530352737031</v>
      </c>
      <c r="P134" s="30">
        <f t="shared" si="76"/>
        <v>1751.3278692802651</v>
      </c>
      <c r="R134" s="30">
        <f t="shared" si="77"/>
        <v>637.05512860235876</v>
      </c>
      <c r="S134" s="46">
        <f t="shared" si="78"/>
        <v>0.57172279761127798</v>
      </c>
    </row>
    <row r="135" spans="1:19">
      <c r="B135" t="str">
        <f t="shared" si="69"/>
        <v>Rest of 23% products &amp; services</v>
      </c>
      <c r="C135" s="30">
        <f t="shared" si="70"/>
        <v>30941.565819861433</v>
      </c>
      <c r="D135" s="46">
        <f t="shared" si="71"/>
        <v>0.22441757124026532</v>
      </c>
      <c r="E135" s="66">
        <f t="shared" si="72"/>
        <v>0.81400199848136201</v>
      </c>
      <c r="F135" s="30">
        <f t="shared" si="73"/>
        <v>25270.435957987265</v>
      </c>
      <c r="G135" s="30">
        <f t="shared" si="73"/>
        <v>5671.1298618741694</v>
      </c>
      <c r="H135" s="30">
        <f t="shared" si="73"/>
        <v>4616.3110412129045</v>
      </c>
      <c r="J135" s="9">
        <f t="shared" si="74"/>
        <v>0.23000000000000004</v>
      </c>
      <c r="L135" s="21">
        <f t="shared" si="75"/>
        <v>0.84656207842061626</v>
      </c>
      <c r="M135" s="30">
        <f t="shared" si="76"/>
        <v>30761.936474570401</v>
      </c>
      <c r="N135" s="30">
        <f t="shared" si="76"/>
        <v>25009.704450870246</v>
      </c>
      <c r="O135" s="30">
        <f t="shared" si="76"/>
        <v>5752.2320237001577</v>
      </c>
      <c r="P135" s="30">
        <f t="shared" si="76"/>
        <v>4869.6214975412331</v>
      </c>
      <c r="R135" s="30">
        <f t="shared" si="77"/>
        <v>253.31045632832968</v>
      </c>
      <c r="S135" s="46">
        <f t="shared" si="78"/>
        <v>5.4872917805333321E-2</v>
      </c>
    </row>
    <row r="136" spans="1:19">
      <c r="B136" t="str">
        <f t="shared" si="69"/>
        <v>Products &amp; services where VAT not applied</v>
      </c>
      <c r="C136" s="30">
        <f t="shared" si="70"/>
        <v>33905</v>
      </c>
      <c r="D136" s="46">
        <f>G136/F136</f>
        <v>0</v>
      </c>
      <c r="E136" s="66"/>
      <c r="F136" s="30">
        <f t="shared" si="73"/>
        <v>33905</v>
      </c>
      <c r="G136" s="30">
        <f t="shared" si="73"/>
        <v>0</v>
      </c>
      <c r="H136" s="30">
        <f t="shared" si="73"/>
        <v>0</v>
      </c>
      <c r="J136" s="9">
        <f t="shared" si="74"/>
        <v>0</v>
      </c>
      <c r="L136" s="21"/>
      <c r="M136" s="30">
        <f t="shared" si="76"/>
        <v>33905</v>
      </c>
      <c r="N136" s="30">
        <f t="shared" si="76"/>
        <v>33905</v>
      </c>
      <c r="O136" s="30">
        <f t="shared" si="76"/>
        <v>0</v>
      </c>
      <c r="P136" s="30">
        <f t="shared" si="76"/>
        <v>0</v>
      </c>
      <c r="R136" s="30">
        <f t="shared" si="77"/>
        <v>0</v>
      </c>
      <c r="S136" s="46"/>
    </row>
    <row r="137" spans="1:19">
      <c r="A137" t="s">
        <v>103</v>
      </c>
      <c r="C137" s="30">
        <f>SUM(C122:C136)</f>
        <v>145005</v>
      </c>
      <c r="D137" s="46">
        <f>G137/(F137-F136)</f>
        <v>0.15912459650760902</v>
      </c>
      <c r="E137" s="66">
        <f>H137/G137</f>
        <v>0.8140019984813619</v>
      </c>
      <c r="F137" s="30">
        <f>SUM(F122:F136)</f>
        <v>129753.19469342586</v>
      </c>
      <c r="G137" s="30">
        <f>SUM(G122:G136)</f>
        <v>15251.805306574142</v>
      </c>
      <c r="H137" s="30">
        <f>SUM(H122:H136)</f>
        <v>12414.999999999993</v>
      </c>
      <c r="J137" s="9">
        <f>SUMPRODUCT(J122:J135,N122:N135)/(N137-N136)</f>
        <v>0.16790424657542929</v>
      </c>
      <c r="L137" s="21">
        <f>P137/O137</f>
        <v>0.84656207842061637</v>
      </c>
      <c r="M137" s="30">
        <f>SUM(M122:M136)</f>
        <v>143796.14485029978</v>
      </c>
      <c r="N137" s="30">
        <f>SUM(N122:N136)</f>
        <v>127997.59806403352</v>
      </c>
      <c r="O137" s="30">
        <f>SUM(O122:O136)</f>
        <v>15798.546786266244</v>
      </c>
      <c r="P137" s="30">
        <f>SUM(P122:P136)</f>
        <v>13374.450603406902</v>
      </c>
      <c r="R137" s="30">
        <f>SUM(R122:R136)</f>
        <v>959.45060340690998</v>
      </c>
      <c r="S137" s="46">
        <f>P137/H137-1</f>
        <v>7.7281562900274547E-2</v>
      </c>
    </row>
    <row r="138" spans="1:19">
      <c r="B138" t="s">
        <v>91</v>
      </c>
      <c r="C138" s="30">
        <f>C56+C80</f>
        <v>145005</v>
      </c>
      <c r="F138" s="30"/>
    </row>
  </sheetData>
  <mergeCells count="2">
    <mergeCell ref="C1:H1"/>
    <mergeCell ref="J1:P1"/>
  </mergeCells>
  <pageMargins left="0.7" right="0.7" top="0.75" bottom="0.75" header="0.51180555555555496" footer="0.51180555555555496"/>
  <pageSetup paperSize="0" scale="0" firstPageNumber="0" orientation="portrait" usePrinterDefaults="0" horizontalDpi="0" verticalDpi="0" copie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topLeftCell="E1" workbookViewId="0">
      <selection activeCell="M2" sqref="M2"/>
    </sheetView>
  </sheetViews>
  <sheetFormatPr baseColWidth="10" defaultColWidth="8.83203125" defaultRowHeight="14" x14ac:dyDescent="0"/>
  <sheetData>
    <row r="1" spans="1:12">
      <c r="B1">
        <v>1</v>
      </c>
      <c r="C1">
        <v>2</v>
      </c>
      <c r="D1">
        <v>3</v>
      </c>
      <c r="E1">
        <v>4</v>
      </c>
      <c r="F1">
        <v>5</v>
      </c>
      <c r="G1">
        <v>6</v>
      </c>
      <c r="H1">
        <v>7</v>
      </c>
      <c r="I1">
        <v>8</v>
      </c>
      <c r="J1">
        <v>9</v>
      </c>
      <c r="K1">
        <v>10</v>
      </c>
      <c r="L1" t="s">
        <v>37</v>
      </c>
    </row>
    <row r="2" spans="1:12">
      <c r="A2" t="s">
        <v>104</v>
      </c>
      <c r="B2">
        <v>0.15133901495920299</v>
      </c>
      <c r="C2">
        <v>0.15517842364805601</v>
      </c>
      <c r="D2">
        <v>0.157956697635247</v>
      </c>
      <c r="E2">
        <v>0.16110175110289199</v>
      </c>
      <c r="F2">
        <v>0.16394184730735301</v>
      </c>
      <c r="G2">
        <v>0.1648444098096</v>
      </c>
      <c r="H2">
        <v>0.16730561573050501</v>
      </c>
      <c r="I2">
        <v>0.16814574447281</v>
      </c>
      <c r="J2">
        <v>0.16817151475178899</v>
      </c>
      <c r="K2">
        <v>0.17221755077627701</v>
      </c>
      <c r="L2">
        <v>0.163543484982523</v>
      </c>
    </row>
    <row r="3" spans="1:12">
      <c r="A3" t="s">
        <v>105</v>
      </c>
      <c r="B3">
        <v>0.15017811335855899</v>
      </c>
      <c r="C3">
        <v>0.15474643794138199</v>
      </c>
      <c r="D3">
        <v>0.1584208889606</v>
      </c>
      <c r="E3">
        <v>0.16106376798803601</v>
      </c>
      <c r="F3">
        <v>0.16552905130053999</v>
      </c>
      <c r="G3">
        <v>0.16577155706671701</v>
      </c>
      <c r="H3">
        <v>0.16799334223336099</v>
      </c>
      <c r="I3">
        <v>0.17088162388189801</v>
      </c>
      <c r="J3">
        <v>0.17223125074986501</v>
      </c>
      <c r="K3">
        <v>0.18143648810834101</v>
      </c>
      <c r="L3">
        <v>0.16876248807945701</v>
      </c>
    </row>
    <row r="7" spans="1:12">
      <c r="A7" s="1" t="s">
        <v>106</v>
      </c>
      <c r="B7" t="s">
        <v>107</v>
      </c>
      <c r="C7">
        <v>2</v>
      </c>
      <c r="D7">
        <v>3</v>
      </c>
      <c r="E7">
        <v>4</v>
      </c>
      <c r="F7">
        <v>5</v>
      </c>
      <c r="G7">
        <v>6</v>
      </c>
      <c r="H7">
        <v>7</v>
      </c>
      <c r="I7">
        <v>8</v>
      </c>
      <c r="J7">
        <v>9</v>
      </c>
      <c r="K7">
        <v>10</v>
      </c>
    </row>
    <row r="8" spans="1:12">
      <c r="A8" t="s">
        <v>8</v>
      </c>
      <c r="B8" s="78">
        <v>259554136</v>
      </c>
      <c r="C8" s="78">
        <v>340467456</v>
      </c>
      <c r="D8" s="78">
        <v>396082576</v>
      </c>
      <c r="E8" s="78">
        <v>443562048</v>
      </c>
      <c r="F8" s="78">
        <v>478665536</v>
      </c>
      <c r="G8" s="78">
        <v>557802112</v>
      </c>
      <c r="H8" s="78">
        <v>623000800</v>
      </c>
      <c r="I8" s="78">
        <v>686147808</v>
      </c>
      <c r="J8" s="78">
        <v>745803776</v>
      </c>
      <c r="K8" s="78">
        <v>970041472</v>
      </c>
      <c r="L8" s="78">
        <v>5501127720</v>
      </c>
    </row>
    <row r="9" spans="1:12">
      <c r="A9" t="s">
        <v>10</v>
      </c>
      <c r="B9" s="78">
        <v>473343547</v>
      </c>
      <c r="C9" s="78">
        <v>667708143</v>
      </c>
      <c r="D9" s="78">
        <v>809601725</v>
      </c>
      <c r="E9" s="78">
        <v>917661316</v>
      </c>
      <c r="F9" s="78">
        <v>987678878</v>
      </c>
      <c r="G9" s="78">
        <v>1172667648</v>
      </c>
      <c r="H9" s="78">
        <v>1320743974</v>
      </c>
      <c r="I9" s="78">
        <v>1408371002</v>
      </c>
      <c r="J9" s="78">
        <v>1609760764</v>
      </c>
      <c r="K9" s="78">
        <v>2108865336</v>
      </c>
      <c r="L9" s="78">
        <v>11476402333</v>
      </c>
    </row>
    <row r="10" spans="1:12">
      <c r="A10" t="s">
        <v>11</v>
      </c>
      <c r="B10" s="78">
        <v>3641674.4375</v>
      </c>
      <c r="C10" s="78">
        <v>10448797.125</v>
      </c>
      <c r="D10" s="78">
        <v>17932953.34375</v>
      </c>
      <c r="E10" s="78">
        <v>22505629.6875</v>
      </c>
      <c r="F10" s="78">
        <v>33079813.75</v>
      </c>
      <c r="G10" s="78">
        <v>39471031.5</v>
      </c>
      <c r="H10" s="78">
        <v>55572749.25</v>
      </c>
      <c r="I10" s="78">
        <v>82416651.125</v>
      </c>
      <c r="J10" s="78">
        <v>115252613.6875</v>
      </c>
      <c r="K10" s="78">
        <v>216157698</v>
      </c>
      <c r="L10" s="78">
        <v>596479611.90625</v>
      </c>
    </row>
    <row r="11" spans="1:12">
      <c r="A11" t="s">
        <v>12</v>
      </c>
      <c r="B11" s="78"/>
      <c r="C11" s="78"/>
      <c r="D11" s="78"/>
      <c r="E11" s="78"/>
      <c r="F11" s="78"/>
      <c r="G11" s="78"/>
      <c r="H11" s="78"/>
      <c r="I11" s="78"/>
      <c r="J11" s="78"/>
      <c r="K11" s="78"/>
      <c r="L11" s="78"/>
    </row>
    <row r="12" spans="1:12">
      <c r="A12" t="s">
        <v>14</v>
      </c>
      <c r="B12" s="78">
        <v>124146064</v>
      </c>
      <c r="C12" s="78">
        <v>162368672</v>
      </c>
      <c r="D12" s="78">
        <v>168715248</v>
      </c>
      <c r="E12" s="78">
        <v>162644160</v>
      </c>
      <c r="F12" s="78">
        <v>164332064</v>
      </c>
      <c r="G12" s="78">
        <v>145169312</v>
      </c>
      <c r="H12" s="78">
        <v>165318544</v>
      </c>
      <c r="I12" s="78">
        <v>175905872</v>
      </c>
      <c r="J12" s="78">
        <v>201250944</v>
      </c>
      <c r="K12" s="78">
        <v>229777024</v>
      </c>
      <c r="L12" s="78">
        <v>1699627904</v>
      </c>
    </row>
    <row r="13" spans="1:12">
      <c r="A13" t="s">
        <v>15</v>
      </c>
      <c r="B13" s="78">
        <v>196991545.125</v>
      </c>
      <c r="C13" s="78">
        <v>235836195.375</v>
      </c>
      <c r="D13" s="78">
        <v>277626107.625</v>
      </c>
      <c r="E13" s="78">
        <v>279317920.1875</v>
      </c>
      <c r="F13" s="78">
        <v>292222535.5</v>
      </c>
      <c r="G13" s="78">
        <v>332378408</v>
      </c>
      <c r="H13" s="78">
        <v>353674116</v>
      </c>
      <c r="I13" s="78">
        <v>350537189.625</v>
      </c>
      <c r="J13" s="78">
        <v>409507540</v>
      </c>
      <c r="K13" s="78">
        <v>506410901</v>
      </c>
      <c r="L13" s="78">
        <v>3234502458.4375</v>
      </c>
    </row>
    <row r="14" spans="1:12">
      <c r="A14" t="s">
        <v>16</v>
      </c>
      <c r="B14" s="78">
        <v>12690040.5</v>
      </c>
      <c r="C14" s="78">
        <v>30762081.5</v>
      </c>
      <c r="D14" s="78">
        <v>35453356.5</v>
      </c>
      <c r="E14" s="78">
        <v>53653662</v>
      </c>
      <c r="F14" s="78">
        <v>70551314</v>
      </c>
      <c r="G14" s="78">
        <v>77159102</v>
      </c>
      <c r="H14" s="78">
        <v>78366598</v>
      </c>
      <c r="I14" s="78">
        <v>111430428</v>
      </c>
      <c r="J14" s="78">
        <v>159747292</v>
      </c>
      <c r="K14" s="78">
        <v>341272348</v>
      </c>
      <c r="L14" s="78">
        <v>971086222.5</v>
      </c>
    </row>
    <row r="15" spans="1:12">
      <c r="A15" t="s">
        <v>19</v>
      </c>
      <c r="B15" s="78">
        <v>57367214.78125</v>
      </c>
      <c r="C15" s="78">
        <v>111981169.24804699</v>
      </c>
      <c r="D15" s="78">
        <v>138226023.1875</v>
      </c>
      <c r="E15" s="78">
        <v>232338776.25</v>
      </c>
      <c r="F15" s="78">
        <v>264784523.1875</v>
      </c>
      <c r="G15" s="78">
        <v>320204258.125</v>
      </c>
      <c r="H15" s="78">
        <v>431740274.046875</v>
      </c>
      <c r="I15" s="78">
        <v>550021929.5625</v>
      </c>
      <c r="J15" s="78">
        <v>678738953.875</v>
      </c>
      <c r="K15" s="78">
        <v>1626082552.875</v>
      </c>
      <c r="L15" s="78">
        <v>4411485675.13867</v>
      </c>
    </row>
    <row r="16" spans="1:12">
      <c r="A16" t="s">
        <v>22</v>
      </c>
      <c r="B16" s="78">
        <v>135078934</v>
      </c>
      <c r="C16" s="78">
        <v>248714844</v>
      </c>
      <c r="D16" s="78">
        <v>352518028</v>
      </c>
      <c r="E16" s="78">
        <v>395997620</v>
      </c>
      <c r="F16" s="78">
        <v>522427456</v>
      </c>
      <c r="G16" s="78">
        <v>692891656</v>
      </c>
      <c r="H16" s="78">
        <v>871102264</v>
      </c>
      <c r="I16" s="78">
        <v>1001319120</v>
      </c>
      <c r="J16" s="78">
        <v>1088861376</v>
      </c>
      <c r="K16" s="78">
        <v>1586839392</v>
      </c>
      <c r="L16" s="78">
        <v>6895750690</v>
      </c>
    </row>
    <row r="17" spans="1:12">
      <c r="A17" t="s">
        <v>23</v>
      </c>
      <c r="B17" s="78">
        <v>1</v>
      </c>
      <c r="C17" s="78">
        <v>1</v>
      </c>
      <c r="D17" s="78">
        <v>1</v>
      </c>
      <c r="E17" s="78">
        <v>1</v>
      </c>
      <c r="F17" s="78">
        <v>1</v>
      </c>
      <c r="G17" s="78">
        <v>1</v>
      </c>
      <c r="H17" s="78">
        <v>1</v>
      </c>
      <c r="I17" s="78">
        <v>1</v>
      </c>
      <c r="J17" s="78">
        <v>1</v>
      </c>
      <c r="K17" s="78">
        <v>1</v>
      </c>
      <c r="L17" s="78">
        <v>1</v>
      </c>
    </row>
    <row r="18" spans="1:12">
      <c r="A18" t="s">
        <v>26</v>
      </c>
      <c r="B18" s="78">
        <v>192388339.3125</v>
      </c>
      <c r="C18" s="78">
        <v>295866201</v>
      </c>
      <c r="D18" s="78">
        <v>310327732</v>
      </c>
      <c r="E18" s="78">
        <v>368398818</v>
      </c>
      <c r="F18" s="78">
        <v>456069268</v>
      </c>
      <c r="G18" s="78">
        <v>611582740</v>
      </c>
      <c r="H18" s="78">
        <v>710021516</v>
      </c>
      <c r="I18" s="78">
        <v>900897772</v>
      </c>
      <c r="J18" s="78">
        <v>1321676352</v>
      </c>
      <c r="K18" s="78">
        <v>2408491024</v>
      </c>
      <c r="L18" s="78">
        <v>7575719762.3125</v>
      </c>
    </row>
    <row r="19" spans="1:12">
      <c r="A19" t="s">
        <v>27</v>
      </c>
      <c r="B19" s="78">
        <v>45084872</v>
      </c>
      <c r="C19" s="78">
        <v>65893568</v>
      </c>
      <c r="D19" s="78">
        <v>110954840</v>
      </c>
      <c r="E19" s="78">
        <v>145825552</v>
      </c>
      <c r="F19" s="78">
        <v>175635952</v>
      </c>
      <c r="G19" s="78">
        <v>237608560</v>
      </c>
      <c r="H19" s="78">
        <v>310258496</v>
      </c>
      <c r="I19" s="78">
        <v>362048064</v>
      </c>
      <c r="J19" s="78">
        <v>406829024</v>
      </c>
      <c r="K19" s="78">
        <v>411768064</v>
      </c>
      <c r="L19" s="78">
        <v>2271906992</v>
      </c>
    </row>
    <row r="20" spans="1:12">
      <c r="A20" t="s">
        <v>28</v>
      </c>
      <c r="B20" s="78">
        <v>142864786.15625</v>
      </c>
      <c r="C20" s="78">
        <v>208405712.25</v>
      </c>
      <c r="D20" s="78">
        <v>259535380.9375</v>
      </c>
      <c r="E20" s="78">
        <v>271015892.9375</v>
      </c>
      <c r="F20" s="78">
        <v>354869654.125</v>
      </c>
      <c r="G20" s="78">
        <v>400218033.875</v>
      </c>
      <c r="H20" s="78">
        <v>430143642.125</v>
      </c>
      <c r="I20" s="78">
        <v>589954848</v>
      </c>
      <c r="J20" s="78">
        <v>798297824</v>
      </c>
      <c r="K20" s="78">
        <v>1918738111.125</v>
      </c>
      <c r="L20" s="78">
        <v>5374043885.53125</v>
      </c>
    </row>
    <row r="21" spans="1:12">
      <c r="A21" t="s">
        <v>29</v>
      </c>
      <c r="B21" s="78">
        <v>309479172.80175799</v>
      </c>
      <c r="C21" s="78">
        <v>499443450.58593798</v>
      </c>
      <c r="D21" s="78">
        <v>618882392.125</v>
      </c>
      <c r="E21" s="78">
        <v>742671309.25</v>
      </c>
      <c r="F21" s="78">
        <v>970169537.515625</v>
      </c>
      <c r="G21" s="78">
        <v>1126965158.875</v>
      </c>
      <c r="H21" s="78">
        <v>1386884039.75</v>
      </c>
      <c r="I21" s="78">
        <v>1759544656.6328101</v>
      </c>
      <c r="J21" s="78">
        <v>2546812852.75</v>
      </c>
      <c r="K21" s="78">
        <v>5926455343.5</v>
      </c>
      <c r="L21" s="78">
        <v>15887307913.7861</v>
      </c>
    </row>
    <row r="22" spans="1:12">
      <c r="A22" t="s">
        <v>32</v>
      </c>
      <c r="B22" s="78">
        <v>145714743.49218699</v>
      </c>
      <c r="C22" s="78">
        <v>320634964.97656298</v>
      </c>
      <c r="D22" s="78">
        <v>432116441.3125</v>
      </c>
      <c r="E22" s="78">
        <v>626726504.21875</v>
      </c>
      <c r="F22" s="78">
        <v>692836996.25</v>
      </c>
      <c r="G22" s="78">
        <v>816832496.1875</v>
      </c>
      <c r="H22" s="78">
        <v>930980476.8125</v>
      </c>
      <c r="I22" s="78">
        <v>1113667251.90625</v>
      </c>
      <c r="J22" s="78">
        <v>1532980824.5</v>
      </c>
      <c r="K22" s="78">
        <v>2775293133.4375</v>
      </c>
      <c r="L22" s="78">
        <v>9387783833.09375</v>
      </c>
    </row>
    <row r="23" spans="1:12">
      <c r="A23" t="s">
        <v>37</v>
      </c>
      <c r="B23" s="78">
        <v>2098345070.6064501</v>
      </c>
      <c r="C23" s="78">
        <v>3198531256.0605502</v>
      </c>
      <c r="D23" s="78">
        <v>3927972805.03125</v>
      </c>
      <c r="E23" s="78">
        <v>4662319209.53125</v>
      </c>
      <c r="F23" s="78">
        <v>5463323529.3281298</v>
      </c>
      <c r="G23" s="78">
        <v>6530950517.5625</v>
      </c>
      <c r="H23" s="78">
        <v>7667807490.9843798</v>
      </c>
      <c r="I23" s="78">
        <v>9092262593.8515606</v>
      </c>
      <c r="J23" s="78">
        <v>11615520137.8125</v>
      </c>
      <c r="K23" s="78">
        <v>21026192400.9375</v>
      </c>
      <c r="L23" s="78">
        <v>75283225002.7061</v>
      </c>
    </row>
    <row r="24" spans="1:12">
      <c r="B24" s="78"/>
    </row>
    <row r="25" spans="1:12">
      <c r="A25" s="1" t="s">
        <v>108</v>
      </c>
      <c r="B25" s="78"/>
    </row>
    <row r="26" spans="1:12">
      <c r="A26" t="s">
        <v>8</v>
      </c>
      <c r="B26" s="79">
        <f t="shared" ref="B26:L26" si="0">B8/$L8</f>
        <v>4.7181986896315871E-2</v>
      </c>
      <c r="C26" s="79">
        <f t="shared" si="0"/>
        <v>6.1890483793384819E-2</v>
      </c>
      <c r="D26" s="79">
        <f t="shared" si="0"/>
        <v>7.2000250886740003E-2</v>
      </c>
      <c r="E26" s="79">
        <f t="shared" si="0"/>
        <v>8.0631112487604628E-2</v>
      </c>
      <c r="F26" s="79">
        <f t="shared" si="0"/>
        <v>8.7012256461480586E-2</v>
      </c>
      <c r="G26" s="79">
        <f t="shared" si="0"/>
        <v>0.10139777521835104</v>
      </c>
      <c r="H26" s="79">
        <f t="shared" si="0"/>
        <v>0.11324965201862283</v>
      </c>
      <c r="I26" s="79">
        <f t="shared" si="0"/>
        <v>0.12472857256257268</v>
      </c>
      <c r="J26" s="79">
        <f t="shared" si="0"/>
        <v>0.13557288868035952</v>
      </c>
      <c r="K26" s="79">
        <f t="shared" si="0"/>
        <v>0.17633502099456799</v>
      </c>
      <c r="L26" s="79">
        <f t="shared" si="0"/>
        <v>1</v>
      </c>
    </row>
    <row r="27" spans="1:12">
      <c r="A27" t="s">
        <v>10</v>
      </c>
      <c r="B27" s="79">
        <f t="shared" ref="B27:L27" si="1">B9/$L9</f>
        <v>4.1244941861171676E-2</v>
      </c>
      <c r="C27" s="79">
        <f t="shared" si="1"/>
        <v>5.818096330415571E-2</v>
      </c>
      <c r="D27" s="79">
        <f t="shared" si="1"/>
        <v>7.054490610459152E-2</v>
      </c>
      <c r="E27" s="79">
        <f t="shared" si="1"/>
        <v>7.9960713242101703E-2</v>
      </c>
      <c r="F27" s="79">
        <f t="shared" si="1"/>
        <v>8.6061715975220165E-2</v>
      </c>
      <c r="G27" s="79">
        <f t="shared" si="1"/>
        <v>0.10218077181104347</v>
      </c>
      <c r="H27" s="79">
        <f t="shared" si="1"/>
        <v>0.11508344999392764</v>
      </c>
      <c r="I27" s="79">
        <f t="shared" si="1"/>
        <v>0.12271885919773635</v>
      </c>
      <c r="J27" s="79">
        <f t="shared" si="1"/>
        <v>0.14026702073446731</v>
      </c>
      <c r="K27" s="79">
        <f t="shared" si="1"/>
        <v>0.18375665777558445</v>
      </c>
      <c r="L27" s="79">
        <f t="shared" si="1"/>
        <v>1</v>
      </c>
    </row>
    <row r="28" spans="1:12">
      <c r="A28" t="s">
        <v>11</v>
      </c>
      <c r="B28" s="79">
        <f t="shared" ref="B28:L28" si="2">B10/$L10</f>
        <v>6.1052789815595069E-3</v>
      </c>
      <c r="C28" s="79">
        <f t="shared" si="2"/>
        <v>1.7517442199922604E-2</v>
      </c>
      <c r="D28" s="79">
        <f t="shared" si="2"/>
        <v>3.0064654324796204E-2</v>
      </c>
      <c r="E28" s="79">
        <f t="shared" si="2"/>
        <v>3.7730761015578949E-2</v>
      </c>
      <c r="F28" s="79">
        <f t="shared" si="2"/>
        <v>5.5458414822063068E-2</v>
      </c>
      <c r="G28" s="79">
        <f t="shared" si="2"/>
        <v>6.6173312066538412E-2</v>
      </c>
      <c r="H28" s="79">
        <f t="shared" si="2"/>
        <v>9.3167893991210698E-2</v>
      </c>
      <c r="I28" s="79">
        <f t="shared" si="2"/>
        <v>0.13817178237091798</v>
      </c>
      <c r="J28" s="79">
        <f t="shared" si="2"/>
        <v>0.19322137988785862</v>
      </c>
      <c r="K28" s="79">
        <f t="shared" si="2"/>
        <v>0.36238908033955397</v>
      </c>
      <c r="L28" s="79">
        <f t="shared" si="2"/>
        <v>1</v>
      </c>
    </row>
    <row r="29" spans="1:12">
      <c r="A29" t="s">
        <v>12</v>
      </c>
      <c r="B29" s="80">
        <f t="shared" ref="B29:L29" si="3">B28</f>
        <v>6.1052789815595069E-3</v>
      </c>
      <c r="C29" s="80">
        <f t="shared" si="3"/>
        <v>1.7517442199922604E-2</v>
      </c>
      <c r="D29" s="80">
        <f t="shared" si="3"/>
        <v>3.0064654324796204E-2</v>
      </c>
      <c r="E29" s="80">
        <f t="shared" si="3"/>
        <v>3.7730761015578949E-2</v>
      </c>
      <c r="F29" s="80">
        <f t="shared" si="3"/>
        <v>5.5458414822063068E-2</v>
      </c>
      <c r="G29" s="80">
        <f t="shared" si="3"/>
        <v>6.6173312066538412E-2</v>
      </c>
      <c r="H29" s="80">
        <f t="shared" si="3"/>
        <v>9.3167893991210698E-2</v>
      </c>
      <c r="I29" s="80">
        <f t="shared" si="3"/>
        <v>0.13817178237091798</v>
      </c>
      <c r="J29" s="80">
        <f t="shared" si="3"/>
        <v>0.19322137988785862</v>
      </c>
      <c r="K29" s="80">
        <f t="shared" si="3"/>
        <v>0.36238908033955397</v>
      </c>
      <c r="L29" s="80">
        <f t="shared" si="3"/>
        <v>1</v>
      </c>
    </row>
    <row r="30" spans="1:12">
      <c r="A30" t="s">
        <v>14</v>
      </c>
      <c r="B30" s="79">
        <f t="shared" ref="B30:L30" si="4">B12/$L12</f>
        <v>7.3043084140844983E-2</v>
      </c>
      <c r="C30" s="79">
        <f t="shared" si="4"/>
        <v>9.5531893550272043E-2</v>
      </c>
      <c r="D30" s="79">
        <f t="shared" si="4"/>
        <v>9.9265990869493281E-2</v>
      </c>
      <c r="E30" s="79">
        <f t="shared" si="4"/>
        <v>9.569398079263354E-2</v>
      </c>
      <c r="F30" s="79">
        <f t="shared" si="4"/>
        <v>9.6687082868698301E-2</v>
      </c>
      <c r="G30" s="79">
        <f t="shared" si="4"/>
        <v>8.5412408009041485E-2</v>
      </c>
      <c r="H30" s="79">
        <f t="shared" si="4"/>
        <v>9.7267492261647409E-2</v>
      </c>
      <c r="I30" s="79">
        <f t="shared" si="4"/>
        <v>0.10349669570969812</v>
      </c>
      <c r="J30" s="79">
        <f t="shared" si="4"/>
        <v>0.11840882555903248</v>
      </c>
      <c r="K30" s="79">
        <f t="shared" si="4"/>
        <v>0.13519254623863836</v>
      </c>
      <c r="L30" s="79">
        <f t="shared" si="4"/>
        <v>1</v>
      </c>
    </row>
    <row r="31" spans="1:12">
      <c r="A31" t="s">
        <v>15</v>
      </c>
      <c r="B31" s="79">
        <f t="shared" ref="B31:L31" si="5">B13/$L13</f>
        <v>6.0903198453638292E-2</v>
      </c>
      <c r="C31" s="79">
        <f t="shared" si="5"/>
        <v>7.2912665365209225E-2</v>
      </c>
      <c r="D31" s="79">
        <f t="shared" si="5"/>
        <v>8.5832708799087942E-2</v>
      </c>
      <c r="E31" s="79">
        <f t="shared" si="5"/>
        <v>8.6355760670044718E-2</v>
      </c>
      <c r="F31" s="79">
        <f t="shared" si="5"/>
        <v>9.0345436200770346E-2</v>
      </c>
      <c r="G31" s="79">
        <f t="shared" si="5"/>
        <v>0.10276028918542326</v>
      </c>
      <c r="H31" s="79">
        <f t="shared" si="5"/>
        <v>0.10934420998116982</v>
      </c>
      <c r="I31" s="79">
        <f t="shared" si="5"/>
        <v>0.10837437724327313</v>
      </c>
      <c r="J31" s="79">
        <f t="shared" si="5"/>
        <v>0.12660603764012038</v>
      </c>
      <c r="K31" s="79">
        <f t="shared" si="5"/>
        <v>0.1565653164612629</v>
      </c>
      <c r="L31" s="79">
        <f t="shared" si="5"/>
        <v>1</v>
      </c>
    </row>
    <row r="32" spans="1:12">
      <c r="A32" t="s">
        <v>16</v>
      </c>
      <c r="B32" s="79">
        <f t="shared" ref="B32:L32" si="6">B14/$L14</f>
        <v>1.3067882342445653E-2</v>
      </c>
      <c r="C32" s="79">
        <f t="shared" si="6"/>
        <v>3.1678012505218095E-2</v>
      </c>
      <c r="D32" s="79">
        <f t="shared" si="6"/>
        <v>3.650896869767916E-2</v>
      </c>
      <c r="E32" s="79">
        <f t="shared" si="6"/>
        <v>5.5251182394362518E-2</v>
      </c>
      <c r="F32" s="79">
        <f t="shared" si="6"/>
        <v>7.265195650533493E-2</v>
      </c>
      <c r="G32" s="79">
        <f t="shared" si="6"/>
        <v>7.945648925113856E-2</v>
      </c>
      <c r="H32" s="79">
        <f t="shared" si="6"/>
        <v>8.0699938053132039E-2</v>
      </c>
      <c r="I32" s="79">
        <f t="shared" si="6"/>
        <v>0.11474823287383216</v>
      </c>
      <c r="J32" s="79">
        <f t="shared" si="6"/>
        <v>0.16450371583765314</v>
      </c>
      <c r="K32" s="79">
        <f t="shared" si="6"/>
        <v>0.35143362153920377</v>
      </c>
      <c r="L32" s="79">
        <f t="shared" si="6"/>
        <v>1</v>
      </c>
    </row>
    <row r="33" spans="1:12">
      <c r="A33" t="s">
        <v>19</v>
      </c>
      <c r="B33" s="79">
        <f t="shared" ref="B33:L33" si="7">B15/$L15</f>
        <v>1.3004057817652718E-2</v>
      </c>
      <c r="C33" s="79">
        <f t="shared" si="7"/>
        <v>2.5384003824182655E-2</v>
      </c>
      <c r="D33" s="79">
        <f t="shared" si="7"/>
        <v>3.1333213653279068E-2</v>
      </c>
      <c r="E33" s="79">
        <f t="shared" si="7"/>
        <v>5.2666786964619738E-2</v>
      </c>
      <c r="F33" s="79">
        <f t="shared" si="7"/>
        <v>6.002162144143805E-2</v>
      </c>
      <c r="G33" s="79">
        <f t="shared" si="7"/>
        <v>7.2584222573710333E-2</v>
      </c>
      <c r="H33" s="79">
        <f t="shared" si="7"/>
        <v>9.7867318595181371E-2</v>
      </c>
      <c r="I33" s="79">
        <f t="shared" si="7"/>
        <v>0.12467952296937033</v>
      </c>
      <c r="J33" s="79">
        <f t="shared" si="7"/>
        <v>0.15385722721488032</v>
      </c>
      <c r="K33" s="79">
        <f t="shared" si="7"/>
        <v>0.36860202494568589</v>
      </c>
      <c r="L33" s="79">
        <f t="shared" si="7"/>
        <v>1</v>
      </c>
    </row>
    <row r="34" spans="1:12">
      <c r="A34" t="s">
        <v>22</v>
      </c>
      <c r="B34" s="79">
        <f t="shared" ref="B34:L34" si="8">B16/$L16</f>
        <v>1.9588720658925099E-2</v>
      </c>
      <c r="C34" s="79">
        <f t="shared" si="8"/>
        <v>3.6067841658005188E-2</v>
      </c>
      <c r="D34" s="79">
        <f t="shared" si="8"/>
        <v>5.1121051767606757E-2</v>
      </c>
      <c r="E34" s="79">
        <f t="shared" si="8"/>
        <v>5.7426324964773345E-2</v>
      </c>
      <c r="F34" s="79">
        <f t="shared" si="8"/>
        <v>7.5760780730893859E-2</v>
      </c>
      <c r="G34" s="79">
        <f t="shared" si="8"/>
        <v>0.10048096097859362</v>
      </c>
      <c r="H34" s="79">
        <f t="shared" si="8"/>
        <v>0.12632450086445918</v>
      </c>
      <c r="I34" s="79">
        <f t="shared" si="8"/>
        <v>0.14520813831800522</v>
      </c>
      <c r="J34" s="79">
        <f t="shared" si="8"/>
        <v>0.15790323997342776</v>
      </c>
      <c r="K34" s="79">
        <f t="shared" si="8"/>
        <v>0.23011844008530999</v>
      </c>
      <c r="L34" s="79">
        <f t="shared" si="8"/>
        <v>1</v>
      </c>
    </row>
    <row r="35" spans="1:12">
      <c r="A35" t="s">
        <v>23</v>
      </c>
      <c r="B35" s="80">
        <v>0</v>
      </c>
      <c r="C35" s="80">
        <v>0</v>
      </c>
      <c r="D35" s="80">
        <v>0</v>
      </c>
      <c r="E35" s="80">
        <v>0</v>
      </c>
      <c r="F35" s="80">
        <v>0</v>
      </c>
      <c r="G35" s="80">
        <v>0</v>
      </c>
      <c r="H35" s="80">
        <v>0.05</v>
      </c>
      <c r="I35" s="80">
        <v>0.15</v>
      </c>
      <c r="J35" s="80">
        <v>0.3</v>
      </c>
      <c r="K35" s="80">
        <v>0.5</v>
      </c>
      <c r="L35" s="79">
        <f t="shared" ref="L35:L41" si="9">L17/$L17</f>
        <v>1</v>
      </c>
    </row>
    <row r="36" spans="1:12">
      <c r="A36" t="s">
        <v>26</v>
      </c>
      <c r="B36" s="79">
        <f t="shared" ref="B36:K36" si="10">B18/$L18</f>
        <v>2.5395387547146171E-2</v>
      </c>
      <c r="C36" s="79">
        <f t="shared" si="10"/>
        <v>3.9054533467812222E-2</v>
      </c>
      <c r="D36" s="79">
        <f t="shared" si="10"/>
        <v>4.0963465088005316E-2</v>
      </c>
      <c r="E36" s="79">
        <f t="shared" si="10"/>
        <v>4.8628886700997201E-2</v>
      </c>
      <c r="F36" s="79">
        <f t="shared" si="10"/>
        <v>6.0201443863966815E-2</v>
      </c>
      <c r="G36" s="79">
        <f t="shared" si="10"/>
        <v>8.0729324630312543E-2</v>
      </c>
      <c r="H36" s="79">
        <f t="shared" si="10"/>
        <v>9.372330792015264E-2</v>
      </c>
      <c r="I36" s="79">
        <f t="shared" si="10"/>
        <v>0.11891909947379041</v>
      </c>
      <c r="J36" s="79">
        <f t="shared" si="10"/>
        <v>0.1744621492699667</v>
      </c>
      <c r="K36" s="79">
        <f t="shared" si="10"/>
        <v>0.31792240203784999</v>
      </c>
      <c r="L36" s="79">
        <f t="shared" si="9"/>
        <v>1</v>
      </c>
    </row>
    <row r="37" spans="1:12">
      <c r="A37" t="s">
        <v>27</v>
      </c>
      <c r="B37" s="79">
        <f t="shared" ref="B37:K37" si="11">B19/$L19</f>
        <v>1.9844506028968638E-2</v>
      </c>
      <c r="C37" s="79">
        <f t="shared" si="11"/>
        <v>2.9003638015125226E-2</v>
      </c>
      <c r="D37" s="79">
        <f t="shared" si="11"/>
        <v>4.8837756294910863E-2</v>
      </c>
      <c r="E37" s="79">
        <f t="shared" si="11"/>
        <v>6.4186409264767999E-2</v>
      </c>
      <c r="F37" s="79">
        <f t="shared" si="11"/>
        <v>7.730772105480628E-2</v>
      </c>
      <c r="G37" s="79">
        <f t="shared" si="11"/>
        <v>0.10458551377177151</v>
      </c>
      <c r="H37" s="79">
        <f t="shared" si="11"/>
        <v>0.13656302704842418</v>
      </c>
      <c r="I37" s="79">
        <f t="shared" si="11"/>
        <v>0.15935866445011584</v>
      </c>
      <c r="J37" s="79">
        <f t="shared" si="11"/>
        <v>0.17906940091850379</v>
      </c>
      <c r="K37" s="79">
        <f t="shared" si="11"/>
        <v>0.18124336315260567</v>
      </c>
      <c r="L37" s="79">
        <f t="shared" si="9"/>
        <v>1</v>
      </c>
    </row>
    <row r="38" spans="1:12">
      <c r="A38" t="s">
        <v>28</v>
      </c>
      <c r="B38" s="79">
        <f t="shared" ref="B38:K38" si="12">B20/$L20</f>
        <v>2.6584223947424487E-2</v>
      </c>
      <c r="C38" s="79">
        <f t="shared" si="12"/>
        <v>3.8780054031769054E-2</v>
      </c>
      <c r="D38" s="79">
        <f t="shared" si="12"/>
        <v>4.8294242932451173E-2</v>
      </c>
      <c r="E38" s="79">
        <f t="shared" si="12"/>
        <v>5.0430532148642619E-2</v>
      </c>
      <c r="F38" s="79">
        <f t="shared" si="12"/>
        <v>6.6034007478135703E-2</v>
      </c>
      <c r="G38" s="79">
        <f t="shared" si="12"/>
        <v>7.4472416377641196E-2</v>
      </c>
      <c r="H38" s="79">
        <f t="shared" si="12"/>
        <v>8.004096194359199E-2</v>
      </c>
      <c r="I38" s="79">
        <f t="shared" si="12"/>
        <v>0.10977856909363146</v>
      </c>
      <c r="J38" s="79">
        <f t="shared" si="12"/>
        <v>0.14854694918835493</v>
      </c>
      <c r="K38" s="79">
        <f t="shared" si="12"/>
        <v>0.35703804285835739</v>
      </c>
      <c r="L38" s="79">
        <f t="shared" si="9"/>
        <v>1</v>
      </c>
    </row>
    <row r="39" spans="1:12">
      <c r="A39" t="s">
        <v>29</v>
      </c>
      <c r="B39" s="79">
        <f t="shared" ref="B39:K39" si="13">B21/$L21</f>
        <v>1.9479648438940973E-2</v>
      </c>
      <c r="C39" s="79">
        <f t="shared" si="13"/>
        <v>3.1436631888562404E-2</v>
      </c>
      <c r="D39" s="79">
        <f t="shared" si="13"/>
        <v>3.8954516113329E-2</v>
      </c>
      <c r="E39" s="79">
        <f t="shared" si="13"/>
        <v>4.6746202269142917E-2</v>
      </c>
      <c r="F39" s="79">
        <f t="shared" si="13"/>
        <v>6.1065697396962208E-2</v>
      </c>
      <c r="G39" s="79">
        <f t="shared" si="13"/>
        <v>7.0934935294927087E-2</v>
      </c>
      <c r="H39" s="79">
        <f t="shared" si="13"/>
        <v>8.7295094126459347E-2</v>
      </c>
      <c r="I39" s="79">
        <f t="shared" si="13"/>
        <v>0.1107515927922551</v>
      </c>
      <c r="J39" s="79">
        <f t="shared" si="13"/>
        <v>0.16030487144647212</v>
      </c>
      <c r="K39" s="79">
        <f t="shared" si="13"/>
        <v>0.37303081023295076</v>
      </c>
      <c r="L39" s="79">
        <f t="shared" si="9"/>
        <v>1</v>
      </c>
    </row>
    <row r="40" spans="1:12">
      <c r="A40" t="s">
        <v>32</v>
      </c>
      <c r="B40" s="79">
        <f t="shared" ref="B40:K40" si="14">B22/$L22</f>
        <v>1.552174038973015E-2</v>
      </c>
      <c r="C40" s="79">
        <f t="shared" si="14"/>
        <v>3.4154489566138375E-2</v>
      </c>
      <c r="D40" s="79">
        <f t="shared" si="14"/>
        <v>4.6029653962547171E-2</v>
      </c>
      <c r="E40" s="79">
        <f t="shared" si="14"/>
        <v>6.6759792871392942E-2</v>
      </c>
      <c r="F40" s="79">
        <f t="shared" si="14"/>
        <v>7.3801975904857958E-2</v>
      </c>
      <c r="G40" s="79">
        <f t="shared" si="14"/>
        <v>8.701015177916728E-2</v>
      </c>
      <c r="H40" s="79">
        <f t="shared" si="14"/>
        <v>9.91693559805472E-2</v>
      </c>
      <c r="I40" s="79">
        <f t="shared" si="14"/>
        <v>0.11862940942252612</v>
      </c>
      <c r="J40" s="79">
        <f t="shared" si="14"/>
        <v>0.16329528371711613</v>
      </c>
      <c r="K40" s="79">
        <f t="shared" si="14"/>
        <v>0.29562814640597668</v>
      </c>
      <c r="L40" s="79">
        <f t="shared" si="9"/>
        <v>1</v>
      </c>
    </row>
    <row r="41" spans="1:12">
      <c r="A41" t="s">
        <v>37</v>
      </c>
      <c r="B41" s="79">
        <f t="shared" ref="B41:K41" si="15">B23/$L23</f>
        <v>2.7872677751664118E-2</v>
      </c>
      <c r="C41" s="79">
        <f t="shared" si="15"/>
        <v>4.2486639698891444E-2</v>
      </c>
      <c r="D41" s="79">
        <f t="shared" si="15"/>
        <v>5.2175937001769736E-2</v>
      </c>
      <c r="E41" s="79">
        <f t="shared" si="15"/>
        <v>6.1930386342557195E-2</v>
      </c>
      <c r="F41" s="79">
        <f t="shared" si="15"/>
        <v>7.257026421399651E-2</v>
      </c>
      <c r="G41" s="79">
        <f t="shared" si="15"/>
        <v>8.6751736755801057E-2</v>
      </c>
      <c r="H41" s="79">
        <f t="shared" si="15"/>
        <v>0.10185280307410789</v>
      </c>
      <c r="I41" s="79">
        <f t="shared" si="15"/>
        <v>0.12077408471176326</v>
      </c>
      <c r="J41" s="79">
        <f t="shared" si="15"/>
        <v>0.15429094778278923</v>
      </c>
      <c r="K41" s="79">
        <f t="shared" si="15"/>
        <v>0.2792945227862077</v>
      </c>
      <c r="L41" s="79">
        <f t="shared" si="9"/>
        <v>1</v>
      </c>
    </row>
    <row r="43" spans="1:12">
      <c r="A43" s="1" t="s">
        <v>109</v>
      </c>
    </row>
    <row r="44" spans="1:12">
      <c r="A44" t="str">
        <f>A26</f>
        <v>Bread &amp; milk</v>
      </c>
      <c r="B44" s="81">
        <f>B26*'Data &amp; Assumptions'!$C4</f>
        <v>349.47697694101163</v>
      </c>
      <c r="C44" s="81">
        <f>C26*'Data &amp; Assumptions'!$C4</f>
        <v>458.42281345760136</v>
      </c>
      <c r="D44" s="81">
        <f>D26*'Data &amp; Assumptions'!$C4</f>
        <v>533.30585831808321</v>
      </c>
      <c r="E44" s="81">
        <f>E26*'Data &amp; Assumptions'!$C4</f>
        <v>597.23465019568744</v>
      </c>
      <c r="F44" s="81">
        <f>F26*'Data &amp; Assumptions'!$C4</f>
        <v>644.49978361018668</v>
      </c>
      <c r="G44" s="81">
        <f>G26*'Data &amp; Assumptions'!$C4</f>
        <v>751.05332104232616</v>
      </c>
      <c r="H44" s="81">
        <f>H26*'Data &amp; Assumptions'!$C4</f>
        <v>838.84017250193926</v>
      </c>
      <c r="I44" s="81">
        <f>I26*'Data &amp; Assumptions'!$C4</f>
        <v>923.86453697097579</v>
      </c>
      <c r="J44" s="81">
        <f>J26*'Data &amp; Assumptions'!$C4</f>
        <v>1004.188386455423</v>
      </c>
      <c r="K44" s="81">
        <f>K26*'Data &amp; Assumptions'!$C4</f>
        <v>1306.1135005067651</v>
      </c>
      <c r="L44" s="81">
        <f>L26*'Data &amp; Assumptions'!$C4</f>
        <v>7407</v>
      </c>
    </row>
    <row r="45" spans="1:12">
      <c r="A45" t="str">
        <f>A27</f>
        <v>Other food</v>
      </c>
      <c r="B45" s="81">
        <f>B27*'Data &amp; Assumptions'!$C5</f>
        <v>604.32088814988742</v>
      </c>
      <c r="C45" s="81">
        <f>C27*'Data &amp; Assumptions'!$C5</f>
        <v>852.46747433248947</v>
      </c>
      <c r="D45" s="81">
        <f>D27*'Data &amp; Assumptions'!$C5</f>
        <v>1033.623964244475</v>
      </c>
      <c r="E45" s="81">
        <f>E27*'Data &amp; Assumptions'!$C5</f>
        <v>1171.5843704232741</v>
      </c>
      <c r="F45" s="81">
        <f>F27*'Data &amp; Assumptions'!$C5</f>
        <v>1260.9762624689258</v>
      </c>
      <c r="G45" s="81">
        <f>G27*'Data &amp; Assumptions'!$C5</f>
        <v>1497.1526685754091</v>
      </c>
      <c r="H45" s="81">
        <f>H27*'Data &amp; Assumptions'!$C5</f>
        <v>1686.2027093110278</v>
      </c>
      <c r="I45" s="81">
        <f>I27*'Data &amp; Assumptions'!$C5</f>
        <v>1798.0767249652331</v>
      </c>
      <c r="J45" s="81">
        <f>J27*'Data &amp; Assumptions'!$C5</f>
        <v>2055.192387801415</v>
      </c>
      <c r="K45" s="81">
        <f>K27*'Data &amp; Assumptions'!$C5</f>
        <v>2692.4025497278635</v>
      </c>
      <c r="L45" s="81">
        <f>L27*'Data &amp; Assumptions'!$C5</f>
        <v>14652</v>
      </c>
    </row>
    <row r="46" spans="1:12">
      <c r="A46" t="str">
        <f>A28</f>
        <v>Books</v>
      </c>
      <c r="B46" s="81">
        <f>B28*'Data &amp; Assumptions'!$C6</f>
        <v>2.3749535238266484</v>
      </c>
      <c r="C46" s="81">
        <f>C28*'Data &amp; Assumptions'!$C6</f>
        <v>6.8142850157698929</v>
      </c>
      <c r="D46" s="81">
        <f>D28*'Data &amp; Assumptions'!$C6</f>
        <v>11.695150532345723</v>
      </c>
      <c r="E46" s="81">
        <f>E28*'Data &amp; Assumptions'!$C6</f>
        <v>14.677266035060212</v>
      </c>
      <c r="F46" s="81">
        <f>F28*'Data &amp; Assumptions'!$C6</f>
        <v>21.573323365782535</v>
      </c>
      <c r="G46" s="81">
        <f>G28*'Data &amp; Assumptions'!$C6</f>
        <v>25.741418393883443</v>
      </c>
      <c r="H46" s="81">
        <f>H28*'Data &amp; Assumptions'!$C6</f>
        <v>36.242310762580964</v>
      </c>
      <c r="I46" s="81">
        <f>I28*'Data &amp; Assumptions'!$C6</f>
        <v>53.748823342287096</v>
      </c>
      <c r="J46" s="81">
        <f>J28*'Data &amp; Assumptions'!$C6</f>
        <v>75.163116776377009</v>
      </c>
      <c r="K46" s="81">
        <f>K28*'Data &amp; Assumptions'!$C6</f>
        <v>140.96935225208648</v>
      </c>
      <c r="L46" s="81">
        <f>L28*'Data &amp; Assumptions'!$C6</f>
        <v>389</v>
      </c>
    </row>
    <row r="47" spans="1:12">
      <c r="A47" t="s">
        <v>12</v>
      </c>
      <c r="B47" s="81">
        <f>B29*'Data &amp; Assumptions'!$C7</f>
        <v>2.8389547264251709</v>
      </c>
      <c r="C47" s="81">
        <f>C29*'Data &amp; Assumptions'!$C7</f>
        <v>8.1456106229640106</v>
      </c>
      <c r="D47" s="81">
        <f>D29*'Data &amp; Assumptions'!$C7</f>
        <v>13.980064261030234</v>
      </c>
      <c r="E47" s="81">
        <f>E29*'Data &amp; Assumptions'!$C7</f>
        <v>17.544803872244213</v>
      </c>
      <c r="F47" s="81">
        <f>F29*'Data &amp; Assumptions'!$C7</f>
        <v>25.788162892259326</v>
      </c>
      <c r="G47" s="81">
        <f>G29*'Data &amp; Assumptions'!$C7</f>
        <v>30.770590110940361</v>
      </c>
      <c r="H47" s="81">
        <f>H29*'Data &amp; Assumptions'!$C7</f>
        <v>43.323070705912976</v>
      </c>
      <c r="I47" s="81">
        <f>I29*'Data &amp; Assumptions'!$C7</f>
        <v>64.249878802476857</v>
      </c>
      <c r="J47" s="81">
        <f>J29*'Data &amp; Assumptions'!$C7</f>
        <v>89.847941647854256</v>
      </c>
      <c r="K47" s="81">
        <f>K29*'Data &amp; Assumptions'!$C7</f>
        <v>168.51092235789258</v>
      </c>
      <c r="L47" s="81">
        <f>L29*'Data &amp; Assumptions'!$C7</f>
        <v>465</v>
      </c>
    </row>
    <row r="48" spans="1:12">
      <c r="A48" t="str">
        <f t="shared" ref="A48:A59" si="16">A30</f>
        <v>Pharmaceuticals</v>
      </c>
      <c r="B48" s="81">
        <f>B30*'Data &amp; Assumptions'!$C8</f>
        <v>134.61840407157732</v>
      </c>
      <c r="C48" s="81">
        <f>C30*'Data &amp; Assumptions'!$C8</f>
        <v>176.06527981315136</v>
      </c>
      <c r="D48" s="81">
        <f>D30*'Data &amp; Assumptions'!$C8</f>
        <v>182.94722117247611</v>
      </c>
      <c r="E48" s="81">
        <f>E30*'Data &amp; Assumptions'!$C8</f>
        <v>176.36400660082361</v>
      </c>
      <c r="F48" s="81">
        <f>F30*'Data &amp; Assumptions'!$C8</f>
        <v>178.19429372701097</v>
      </c>
      <c r="G48" s="81">
        <f>G30*'Data &amp; Assumptions'!$C8</f>
        <v>157.41506796066346</v>
      </c>
      <c r="H48" s="81">
        <f>H30*'Data &amp; Assumptions'!$C8</f>
        <v>179.26398823821617</v>
      </c>
      <c r="I48" s="81">
        <f>I30*'Data &amp; Assumptions'!$C8</f>
        <v>190.74441019297365</v>
      </c>
      <c r="J48" s="81">
        <f>J30*'Data &amp; Assumptions'!$C8</f>
        <v>218.22746550529686</v>
      </c>
      <c r="K48" s="81">
        <f>K30*'Data &amp; Assumptions'!$C8</f>
        <v>249.15986271781048</v>
      </c>
      <c r="L48" s="81">
        <f>L30*'Data &amp; Assumptions'!$C8</f>
        <v>1843</v>
      </c>
    </row>
    <row r="49" spans="1:12">
      <c r="A49" t="str">
        <f t="shared" si="16"/>
        <v>Water, electricity &amp; gas</v>
      </c>
      <c r="B49" s="81">
        <f>B31*'Data &amp; Assumptions'!$C9</f>
        <v>202.56403805680097</v>
      </c>
      <c r="C49" s="81">
        <f>C31*'Data &amp; Assumptions'!$C9</f>
        <v>242.50752500468587</v>
      </c>
      <c r="D49" s="81">
        <f>D31*'Data &amp; Assumptions'!$C9</f>
        <v>285.47958946576648</v>
      </c>
      <c r="E49" s="81">
        <f>E31*'Data &amp; Assumptions'!$C9</f>
        <v>287.21925998856875</v>
      </c>
      <c r="F49" s="81">
        <f>F31*'Data &amp; Assumptions'!$C9</f>
        <v>300.4889208037622</v>
      </c>
      <c r="G49" s="81">
        <f>G31*'Data &amp; Assumptions'!$C9</f>
        <v>341.78072183071777</v>
      </c>
      <c r="H49" s="81">
        <f>H31*'Data &amp; Assumptions'!$C9</f>
        <v>363.67884239737083</v>
      </c>
      <c r="I49" s="81">
        <f>I31*'Data &amp; Assumptions'!$C9</f>
        <v>360.45317871112644</v>
      </c>
      <c r="J49" s="81">
        <f>J31*'Data &amp; Assumptions'!$C9</f>
        <v>421.09168119104038</v>
      </c>
      <c r="K49" s="81">
        <f>K31*'Data &amp; Assumptions'!$C9</f>
        <v>520.73624255016045</v>
      </c>
      <c r="L49" s="81">
        <f>L31*'Data &amp; Assumptions'!$C9</f>
        <v>3326</v>
      </c>
    </row>
    <row r="50" spans="1:12">
      <c r="A50" t="str">
        <f t="shared" si="16"/>
        <v>Alcohol</v>
      </c>
      <c r="B50" s="81">
        <f>B32*'Data &amp; Assumptions'!$C10</f>
        <v>15.759866104989458</v>
      </c>
      <c r="C50" s="81">
        <f>C32*'Data &amp; Assumptions'!$C10</f>
        <v>38.203683081293022</v>
      </c>
      <c r="D50" s="81">
        <f>D32*'Data &amp; Assumptions'!$C10</f>
        <v>44.029816249401065</v>
      </c>
      <c r="E50" s="81">
        <f>E32*'Data &amp; Assumptions'!$C10</f>
        <v>66.632925967601196</v>
      </c>
      <c r="F50" s="81">
        <f>F32*'Data &amp; Assumptions'!$C10</f>
        <v>87.618259545433929</v>
      </c>
      <c r="G50" s="81">
        <f>G32*'Data &amp; Assumptions'!$C10</f>
        <v>95.82452603687311</v>
      </c>
      <c r="H50" s="81">
        <f>H32*'Data &amp; Assumptions'!$C10</f>
        <v>97.324125292077241</v>
      </c>
      <c r="I50" s="81">
        <f>I32*'Data &amp; Assumptions'!$C10</f>
        <v>138.38636884584159</v>
      </c>
      <c r="J50" s="81">
        <f>J32*'Data &amp; Assumptions'!$C10</f>
        <v>198.39148130020968</v>
      </c>
      <c r="K50" s="81">
        <f>K32*'Data &amp; Assumptions'!$C10</f>
        <v>423.82894757627975</v>
      </c>
      <c r="L50" s="81">
        <f>L32*'Data &amp; Assumptions'!$C10</f>
        <v>1206</v>
      </c>
    </row>
    <row r="51" spans="1:12">
      <c r="A51" t="str">
        <f t="shared" si="16"/>
        <v>Clothing and footwear</v>
      </c>
      <c r="B51" s="81">
        <f>B33*'Data &amp; Assumptions'!$C11</f>
        <v>59.194471185955173</v>
      </c>
      <c r="C51" s="81">
        <f>C33*'Data &amp; Assumptions'!$C11</f>
        <v>115.54798540767945</v>
      </c>
      <c r="D51" s="81">
        <f>D33*'Data &amp; Assumptions'!$C11</f>
        <v>142.62878854972632</v>
      </c>
      <c r="E51" s="81">
        <f>E33*'Data &amp; Assumptions'!$C11</f>
        <v>239.73921426294905</v>
      </c>
      <c r="F51" s="81">
        <f>F33*'Data &amp; Assumptions'!$C11</f>
        <v>273.21842080142602</v>
      </c>
      <c r="G51" s="81">
        <f>G33*'Data &amp; Assumptions'!$C11</f>
        <v>330.40338115552942</v>
      </c>
      <c r="H51" s="81">
        <f>H33*'Data &amp; Assumptions'!$C11</f>
        <v>445.49203424526559</v>
      </c>
      <c r="I51" s="81">
        <f>I33*'Data &amp; Assumptions'!$C11</f>
        <v>567.54118855657373</v>
      </c>
      <c r="J51" s="81">
        <f>J33*'Data &amp; Assumptions'!$C11</f>
        <v>700.35809828213519</v>
      </c>
      <c r="K51" s="81">
        <f>K33*'Data &amp; Assumptions'!$C11</f>
        <v>1677.8764175527622</v>
      </c>
      <c r="L51" s="81">
        <f>L33*'Data &amp; Assumptions'!$C11</f>
        <v>4552</v>
      </c>
    </row>
    <row r="52" spans="1:12">
      <c r="A52" t="str">
        <f t="shared" si="16"/>
        <v>Fuel</v>
      </c>
      <c r="B52" s="81">
        <f>B34*'Data &amp; Assumptions'!$C12</f>
        <v>96.239384597299008</v>
      </c>
      <c r="C52" s="81">
        <f>C34*'Data &amp; Assumptions'!$C12</f>
        <v>177.20130606577948</v>
      </c>
      <c r="D52" s="81">
        <f>D34*'Data &amp; Assumptions'!$C12</f>
        <v>251.157727334252</v>
      </c>
      <c r="E52" s="81">
        <f>E34*'Data &amp; Assumptions'!$C12</f>
        <v>282.13553455193147</v>
      </c>
      <c r="F52" s="81">
        <f>F34*'Data &amp; Assumptions'!$C12</f>
        <v>372.21271573088154</v>
      </c>
      <c r="G52" s="81">
        <f>G34*'Data &amp; Assumptions'!$C12</f>
        <v>493.66296128783046</v>
      </c>
      <c r="H52" s="81">
        <f>H34*'Data &amp; Assumptions'!$C12</f>
        <v>620.63227274708788</v>
      </c>
      <c r="I52" s="81">
        <f>I34*'Data &amp; Assumptions'!$C12</f>
        <v>713.40758355635967</v>
      </c>
      <c r="J52" s="81">
        <f>J34*'Data &amp; Assumptions'!$C12</f>
        <v>775.77861798945059</v>
      </c>
      <c r="K52" s="81">
        <f>K34*'Data &amp; Assumptions'!$C12</f>
        <v>1130.5718961391281</v>
      </c>
      <c r="L52" s="81">
        <f>L34*'Data &amp; Assumptions'!$C12</f>
        <v>4913</v>
      </c>
    </row>
    <row r="53" spans="1:12">
      <c r="A53" t="str">
        <f t="shared" si="16"/>
        <v>Hotels</v>
      </c>
      <c r="B53" s="82">
        <v>1</v>
      </c>
      <c r="C53" s="82">
        <v>1</v>
      </c>
      <c r="D53" s="82">
        <v>1</v>
      </c>
      <c r="E53" s="82">
        <v>1</v>
      </c>
      <c r="F53" s="82">
        <v>1</v>
      </c>
      <c r="G53" s="82">
        <v>1</v>
      </c>
      <c r="H53" s="82">
        <v>1</v>
      </c>
      <c r="I53" s="82">
        <f>I35*'Data &amp; Assumptions'!$C13*0.1</f>
        <v>58.169999999999995</v>
      </c>
      <c r="J53" s="82">
        <f>J35*'Data &amp; Assumptions'!$C13*0.2</f>
        <v>232.67999999999998</v>
      </c>
      <c r="K53" s="82">
        <f>K35*'Data &amp; Assumptions'!$C13*0.4</f>
        <v>775.6</v>
      </c>
      <c r="L53" s="81">
        <f>L35*'Data &amp; Assumptions'!$C13</f>
        <v>3878</v>
      </c>
    </row>
    <row r="54" spans="1:12">
      <c r="A54" t="str">
        <f t="shared" si="16"/>
        <v>Restaurants</v>
      </c>
      <c r="B54" s="81">
        <f>B36*'Data &amp; Assumptions'!$C14</f>
        <v>363.94129893815176</v>
      </c>
      <c r="C54" s="81">
        <f>C36*'Data &amp; Assumptions'!$C14</f>
        <v>559.69051912721693</v>
      </c>
      <c r="D54" s="81">
        <f>D36*'Data &amp; Assumptions'!$C14</f>
        <v>587.04741817620413</v>
      </c>
      <c r="E54" s="81">
        <f>E36*'Data &amp; Assumptions'!$C14</f>
        <v>696.90057531199091</v>
      </c>
      <c r="F54" s="81">
        <f>F36*'Data &amp; Assumptions'!$C14</f>
        <v>862.74689201450838</v>
      </c>
      <c r="G54" s="81">
        <f>G36*'Data &amp; Assumptions'!$C14</f>
        <v>1156.9319512770091</v>
      </c>
      <c r="H54" s="81">
        <f>H36*'Data &amp; Assumptions'!$C14</f>
        <v>1343.1487258037075</v>
      </c>
      <c r="I54" s="81">
        <f>I36*'Data &amp; Assumptions'!$C14</f>
        <v>1704.2296145588903</v>
      </c>
      <c r="J54" s="81">
        <f>J36*'Data &amp; Assumptions'!$C14</f>
        <v>2500.2170611878928</v>
      </c>
      <c r="K54" s="81">
        <f>K36*'Data &amp; Assumptions'!$C14</f>
        <v>4556.1459436044279</v>
      </c>
      <c r="L54" s="81">
        <f>L36*'Data &amp; Assumptions'!$C14</f>
        <v>14331</v>
      </c>
    </row>
    <row r="55" spans="1:12">
      <c r="A55" t="str">
        <f t="shared" si="16"/>
        <v>Tobacco</v>
      </c>
      <c r="B55" s="81">
        <f>B37*'Data &amp; Assumptions'!$C15</f>
        <v>88.863697997721559</v>
      </c>
      <c r="C55" s="81">
        <f>C37*'Data &amp; Assumptions'!$C15</f>
        <v>129.87829103173075</v>
      </c>
      <c r="D55" s="81">
        <f>D37*'Data &amp; Assumptions'!$C15</f>
        <v>218.69547268861083</v>
      </c>
      <c r="E55" s="81">
        <f>E37*'Data &amp; Assumptions'!$C15</f>
        <v>287.42674068763108</v>
      </c>
      <c r="F55" s="81">
        <f>F37*'Data &amp; Assumptions'!$C15</f>
        <v>346.18397488342254</v>
      </c>
      <c r="G55" s="81">
        <f>G37*'Data &amp; Assumptions'!$C15</f>
        <v>468.33393066999281</v>
      </c>
      <c r="H55" s="81">
        <f>H37*'Data &amp; Assumptions'!$C15</f>
        <v>611.52923512284349</v>
      </c>
      <c r="I55" s="81">
        <f>I37*'Data &amp; Assumptions'!$C15</f>
        <v>713.60809940761874</v>
      </c>
      <c r="J55" s="81">
        <f>J37*'Data &amp; Assumptions'!$C15</f>
        <v>801.87277731305994</v>
      </c>
      <c r="K55" s="81">
        <f>K37*'Data &amp; Assumptions'!$C15</f>
        <v>811.60778019736813</v>
      </c>
      <c r="L55" s="81">
        <f>L37*'Data &amp; Assumptions'!$C15</f>
        <v>4478</v>
      </c>
    </row>
    <row r="56" spans="1:12">
      <c r="A56" t="str">
        <f t="shared" si="16"/>
        <v>Rest of 13% products &amp; services</v>
      </c>
      <c r="B56" s="81">
        <f>B38*'Data &amp; Assumptions'!$C16</f>
        <v>261.85460588213118</v>
      </c>
      <c r="C56" s="81">
        <f>C38*'Data &amp; Assumptions'!$C16</f>
        <v>381.98353221292518</v>
      </c>
      <c r="D56" s="81">
        <f>D38*'Data &amp; Assumptions'!$C16</f>
        <v>475.69829288464405</v>
      </c>
      <c r="E56" s="81">
        <f>E38*'Data &amp; Assumptions'!$C16</f>
        <v>496.74074166412981</v>
      </c>
      <c r="F56" s="81">
        <f>F38*'Data &amp; Assumptions'!$C16</f>
        <v>650.43497365963663</v>
      </c>
      <c r="G56" s="81">
        <f>G38*'Data &amp; Assumptions'!$C16</f>
        <v>733.55330131976575</v>
      </c>
      <c r="H56" s="81">
        <f>H38*'Data &amp; Assumptions'!$C16</f>
        <v>788.4034751443811</v>
      </c>
      <c r="I56" s="81">
        <f>I38*'Data &amp; Assumptions'!$C16</f>
        <v>1081.3189055722698</v>
      </c>
      <c r="J56" s="81">
        <f>J38*'Data &amp; Assumptions'!$C16</f>
        <v>1463.1874495052959</v>
      </c>
      <c r="K56" s="81">
        <f>K38*'Data &amp; Assumptions'!$C16</f>
        <v>3516.8247221548204</v>
      </c>
      <c r="L56" s="81">
        <f>L38*'Data &amp; Assumptions'!$C16</f>
        <v>9850</v>
      </c>
    </row>
    <row r="57" spans="1:12">
      <c r="A57" t="str">
        <f t="shared" si="16"/>
        <v>Rest of 23% products &amp; services</v>
      </c>
      <c r="B57" s="81">
        <f>B39*'Data &amp; Assumptions'!$C17</f>
        <v>538.76811652422941</v>
      </c>
      <c r="C57" s="81">
        <f>C39*'Data &amp; Assumptions'!$C17</f>
        <v>869.47436477385895</v>
      </c>
      <c r="D57" s="81">
        <f>D39*'Data &amp; Assumptions'!$C17</f>
        <v>1077.4040066624534</v>
      </c>
      <c r="E57" s="81">
        <f>E39*'Data &amp; Assumptions'!$C17</f>
        <v>1292.9064623599547</v>
      </c>
      <c r="F57" s="81">
        <f>F39*'Data &amp; Assumptions'!$C17</f>
        <v>1688.9550586051807</v>
      </c>
      <c r="G57" s="81">
        <f>G39*'Data &amp; Assumptions'!$C17</f>
        <v>1961.9184403870934</v>
      </c>
      <c r="H57" s="81">
        <f>H39*'Data &amp; Assumptions'!$C17</f>
        <v>2414.4077133496125</v>
      </c>
      <c r="I57" s="81">
        <f>I39*'Data &amp; Assumptions'!$C17</f>
        <v>3063.1675534481915</v>
      </c>
      <c r="J57" s="81">
        <f>J39*'Data &amp; Assumptions'!$C17</f>
        <v>4433.7121344665256</v>
      </c>
      <c r="K57" s="81">
        <f>K39*'Data &amp; Assumptions'!$C17</f>
        <v>10317.286149422953</v>
      </c>
      <c r="L57" s="81">
        <f>L39*'Data &amp; Assumptions'!$C17</f>
        <v>27658</v>
      </c>
    </row>
    <row r="58" spans="1:12">
      <c r="A58" t="str">
        <f t="shared" si="16"/>
        <v>Products &amp; services where VAT not applied</v>
      </c>
      <c r="B58" s="81">
        <f>B40*'Data &amp; Assumptions'!$C18</f>
        <v>526.26460791380077</v>
      </c>
      <c r="C58" s="81">
        <f>C40*'Data &amp; Assumptions'!$C18</f>
        <v>1158.0079687399216</v>
      </c>
      <c r="D58" s="81">
        <f>D40*'Data &amp; Assumptions'!$C18</f>
        <v>1560.6354176001619</v>
      </c>
      <c r="E58" s="81">
        <f>E40*'Data &amp; Assumptions'!$C18</f>
        <v>2263.4907773045779</v>
      </c>
      <c r="F58" s="81">
        <f>F40*'Data &amp; Assumptions'!$C18</f>
        <v>2502.2559930542093</v>
      </c>
      <c r="G58" s="81">
        <f>G40*'Data &amp; Assumptions'!$C18</f>
        <v>2950.0791960726665</v>
      </c>
      <c r="H58" s="81">
        <f>H40*'Data &amp; Assumptions'!$C18</f>
        <v>3362.3370145204526</v>
      </c>
      <c r="I58" s="81">
        <f>I40*'Data &amp; Assumptions'!$C18</f>
        <v>4022.1301264707481</v>
      </c>
      <c r="J58" s="81">
        <f>J40*'Data &amp; Assumptions'!$C18</f>
        <v>5536.5265944288221</v>
      </c>
      <c r="K58" s="81">
        <f>K40*'Data &amp; Assumptions'!$C18</f>
        <v>10023.272303894639</v>
      </c>
      <c r="L58" s="81">
        <f>L40*'Data &amp; Assumptions'!$C18</f>
        <v>33905</v>
      </c>
    </row>
    <row r="59" spans="1:12">
      <c r="A59" t="str">
        <f t="shared" si="16"/>
        <v>Total</v>
      </c>
      <c r="B59" s="81">
        <f t="shared" ref="B59:L59" si="17">SUM(B44:B58)</f>
        <v>3248.0802646138072</v>
      </c>
      <c r="C59" s="81">
        <f t="shared" si="17"/>
        <v>5175.4106386870681</v>
      </c>
      <c r="D59" s="81">
        <f t="shared" si="17"/>
        <v>6419.32878813963</v>
      </c>
      <c r="E59" s="81">
        <f t="shared" si="17"/>
        <v>7891.5973292264243</v>
      </c>
      <c r="F59" s="81">
        <f t="shared" si="17"/>
        <v>9216.1470351626267</v>
      </c>
      <c r="G59" s="81">
        <f t="shared" si="17"/>
        <v>10995.621476120701</v>
      </c>
      <c r="H59" s="81">
        <f t="shared" si="17"/>
        <v>12831.825690142476</v>
      </c>
      <c r="I59" s="81">
        <f t="shared" si="17"/>
        <v>15453.096993401567</v>
      </c>
      <c r="J59" s="81">
        <f t="shared" si="17"/>
        <v>20506.435193850801</v>
      </c>
      <c r="K59" s="81">
        <f t="shared" si="17"/>
        <v>38310.906590654951</v>
      </c>
      <c r="L59" s="81">
        <f t="shared" si="17"/>
        <v>132853</v>
      </c>
    </row>
  </sheetData>
  <pageMargins left="0.7" right="0.7" top="0.75" bottom="0.75" header="0.51180555555555496" footer="0.51180555555555496"/>
  <pageSetup paperSize="0" scale="0" firstPageNumber="0" orientation="portrait" usePrinterDefaults="0" horizontalDpi="0" verticalDpi="0" copies="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
  <sheetViews>
    <sheetView zoomScale="70" zoomScaleNormal="70" zoomScalePageLayoutView="70" workbookViewId="0">
      <pane xSplit="4" ySplit="1" topLeftCell="E2" activePane="bottomRight" state="frozen"/>
      <selection pane="topRight" activeCell="E1" sqref="E1"/>
      <selection pane="bottomLeft" activeCell="A2" sqref="A2"/>
      <selection pane="bottomRight" activeCell="T3" sqref="T3"/>
    </sheetView>
  </sheetViews>
  <sheetFormatPr baseColWidth="10" defaultColWidth="8.83203125" defaultRowHeight="14" x14ac:dyDescent="0"/>
  <cols>
    <col min="3" max="3" width="8.83203125" style="83"/>
  </cols>
  <sheetData>
    <row r="1" spans="1:20">
      <c r="A1" s="1" t="s">
        <v>110</v>
      </c>
      <c r="B1" s="61" t="s">
        <v>111</v>
      </c>
      <c r="C1" s="84" t="s">
        <v>112</v>
      </c>
      <c r="E1">
        <v>1</v>
      </c>
      <c r="F1">
        <v>2</v>
      </c>
      <c r="G1">
        <v>3</v>
      </c>
      <c r="H1">
        <v>4</v>
      </c>
      <c r="I1">
        <v>5</v>
      </c>
      <c r="J1">
        <v>6</v>
      </c>
      <c r="K1">
        <v>7</v>
      </c>
      <c r="L1">
        <v>8</v>
      </c>
      <c r="M1">
        <v>9</v>
      </c>
      <c r="N1">
        <v>10</v>
      </c>
      <c r="O1">
        <v>11</v>
      </c>
      <c r="P1">
        <v>12</v>
      </c>
      <c r="Q1">
        <v>13</v>
      </c>
      <c r="R1">
        <v>14</v>
      </c>
      <c r="S1">
        <v>15</v>
      </c>
      <c r="T1" s="61" t="s">
        <v>113</v>
      </c>
    </row>
    <row r="2" spans="1:20">
      <c r="A2" s="85">
        <v>2013</v>
      </c>
      <c r="C2"/>
    </row>
    <row r="3" spans="1:20">
      <c r="A3" t="s">
        <v>114</v>
      </c>
      <c r="B3">
        <v>21731</v>
      </c>
      <c r="C3" s="84" t="s">
        <v>115</v>
      </c>
      <c r="E3">
        <v>7407</v>
      </c>
      <c r="F3">
        <v>14324</v>
      </c>
      <c r="T3">
        <f t="shared" ref="T3:T47" si="0">SUM(E3:S3)</f>
        <v>21731</v>
      </c>
    </row>
    <row r="4" spans="1:20">
      <c r="A4" t="s">
        <v>116</v>
      </c>
      <c r="B4">
        <v>1655</v>
      </c>
      <c r="C4" s="84" t="s">
        <v>115</v>
      </c>
      <c r="F4">
        <v>328</v>
      </c>
      <c r="R4">
        <v>1327</v>
      </c>
      <c r="T4">
        <f t="shared" si="0"/>
        <v>1655</v>
      </c>
    </row>
    <row r="5" spans="1:20">
      <c r="A5" t="s">
        <v>117</v>
      </c>
      <c r="B5">
        <v>1206</v>
      </c>
      <c r="C5" s="84">
        <v>23</v>
      </c>
      <c r="K5">
        <v>1206</v>
      </c>
      <c r="T5">
        <f t="shared" si="0"/>
        <v>1206</v>
      </c>
    </row>
    <row r="6" spans="1:20">
      <c r="A6" t="s">
        <v>118</v>
      </c>
      <c r="B6">
        <v>4478</v>
      </c>
      <c r="C6" s="84">
        <v>23</v>
      </c>
      <c r="P6">
        <v>4478</v>
      </c>
      <c r="T6">
        <f t="shared" si="0"/>
        <v>4478</v>
      </c>
    </row>
    <row r="7" spans="1:20">
      <c r="A7" t="s">
        <v>119</v>
      </c>
      <c r="B7">
        <v>3281</v>
      </c>
      <c r="C7" s="84">
        <v>23</v>
      </c>
      <c r="L7">
        <v>3281</v>
      </c>
      <c r="T7">
        <f t="shared" si="0"/>
        <v>3281</v>
      </c>
    </row>
    <row r="8" spans="1:20">
      <c r="A8" t="s">
        <v>120</v>
      </c>
      <c r="B8">
        <v>1271</v>
      </c>
      <c r="C8" s="84">
        <v>23</v>
      </c>
      <c r="L8">
        <v>1271</v>
      </c>
      <c r="T8">
        <f t="shared" si="0"/>
        <v>1271</v>
      </c>
    </row>
    <row r="9" spans="1:20">
      <c r="A9" t="s">
        <v>121</v>
      </c>
      <c r="B9">
        <v>4851</v>
      </c>
      <c r="C9" s="84">
        <v>0</v>
      </c>
      <c r="S9">
        <v>4851</v>
      </c>
      <c r="T9">
        <f t="shared" si="0"/>
        <v>4851</v>
      </c>
    </row>
    <row r="10" spans="1:20">
      <c r="A10" t="s">
        <v>122</v>
      </c>
      <c r="B10">
        <v>18136</v>
      </c>
      <c r="C10" s="84">
        <v>0</v>
      </c>
      <c r="S10">
        <v>18136</v>
      </c>
      <c r="T10">
        <f t="shared" si="0"/>
        <v>18136</v>
      </c>
    </row>
    <row r="11" spans="1:20">
      <c r="A11" t="s">
        <v>123</v>
      </c>
      <c r="B11">
        <v>413</v>
      </c>
      <c r="C11" s="84">
        <v>23</v>
      </c>
      <c r="R11">
        <v>413</v>
      </c>
      <c r="T11">
        <f t="shared" si="0"/>
        <v>413</v>
      </c>
    </row>
    <row r="12" spans="1:20">
      <c r="A12" t="s">
        <v>124</v>
      </c>
      <c r="B12">
        <v>2187</v>
      </c>
      <c r="C12" s="84" t="s">
        <v>115</v>
      </c>
      <c r="J12">
        <v>682</v>
      </c>
      <c r="R12">
        <v>1505</v>
      </c>
      <c r="T12">
        <f t="shared" si="0"/>
        <v>2187</v>
      </c>
    </row>
    <row r="13" spans="1:20">
      <c r="A13" t="s">
        <v>125</v>
      </c>
      <c r="B13">
        <v>5471</v>
      </c>
      <c r="C13" s="84">
        <v>13</v>
      </c>
      <c r="J13">
        <v>2644</v>
      </c>
      <c r="R13">
        <v>2827</v>
      </c>
      <c r="T13">
        <f t="shared" si="0"/>
        <v>5471</v>
      </c>
    </row>
    <row r="14" spans="1:20">
      <c r="A14" t="s">
        <v>126</v>
      </c>
      <c r="B14">
        <v>677</v>
      </c>
      <c r="C14" s="84">
        <v>23</v>
      </c>
      <c r="R14">
        <v>677</v>
      </c>
      <c r="T14">
        <f t="shared" si="0"/>
        <v>677</v>
      </c>
    </row>
    <row r="15" spans="1:20">
      <c r="A15" t="s">
        <v>127</v>
      </c>
      <c r="B15">
        <v>710</v>
      </c>
      <c r="C15" s="84">
        <v>23</v>
      </c>
      <c r="R15">
        <v>710</v>
      </c>
      <c r="T15">
        <f t="shared" si="0"/>
        <v>710</v>
      </c>
    </row>
    <row r="16" spans="1:20">
      <c r="A16" t="s">
        <v>128</v>
      </c>
      <c r="B16">
        <v>487</v>
      </c>
      <c r="C16" s="84">
        <v>23</v>
      </c>
      <c r="R16">
        <v>487</v>
      </c>
      <c r="T16">
        <f t="shared" si="0"/>
        <v>487</v>
      </c>
    </row>
    <row r="17" spans="1:20">
      <c r="A17" t="s">
        <v>129</v>
      </c>
      <c r="B17">
        <v>394</v>
      </c>
      <c r="C17" s="84">
        <v>23</v>
      </c>
      <c r="R17">
        <v>394</v>
      </c>
      <c r="T17">
        <f t="shared" si="0"/>
        <v>394</v>
      </c>
    </row>
    <row r="18" spans="1:20">
      <c r="A18" t="s">
        <v>130</v>
      </c>
      <c r="B18">
        <v>270</v>
      </c>
      <c r="C18" s="84">
        <v>23</v>
      </c>
      <c r="R18">
        <v>270</v>
      </c>
      <c r="T18">
        <f t="shared" si="0"/>
        <v>270</v>
      </c>
    </row>
    <row r="19" spans="1:20">
      <c r="A19" t="s">
        <v>131</v>
      </c>
      <c r="B19">
        <v>2195</v>
      </c>
      <c r="C19" s="84">
        <v>23</v>
      </c>
      <c r="R19">
        <v>2195</v>
      </c>
      <c r="T19">
        <f t="shared" si="0"/>
        <v>2195</v>
      </c>
    </row>
    <row r="20" spans="1:20">
      <c r="A20" t="s">
        <v>132</v>
      </c>
      <c r="B20">
        <v>2024</v>
      </c>
      <c r="C20" s="84" t="s">
        <v>115</v>
      </c>
      <c r="I20">
        <v>1843</v>
      </c>
      <c r="R20">
        <v>181</v>
      </c>
      <c r="T20">
        <f t="shared" si="0"/>
        <v>2024</v>
      </c>
    </row>
    <row r="21" spans="1:20">
      <c r="A21" t="s">
        <v>133</v>
      </c>
      <c r="B21">
        <v>1965</v>
      </c>
      <c r="C21" s="84">
        <v>0</v>
      </c>
      <c r="S21">
        <v>1965</v>
      </c>
      <c r="T21">
        <f t="shared" si="0"/>
        <v>1965</v>
      </c>
    </row>
    <row r="22" spans="1:20">
      <c r="A22" t="s">
        <v>134</v>
      </c>
      <c r="B22">
        <v>1699</v>
      </c>
      <c r="C22" s="84">
        <v>13</v>
      </c>
      <c r="Q22">
        <v>1699</v>
      </c>
      <c r="T22">
        <f t="shared" si="0"/>
        <v>1699</v>
      </c>
    </row>
    <row r="23" spans="1:20">
      <c r="A23" t="s">
        <v>135</v>
      </c>
      <c r="B23">
        <v>2870</v>
      </c>
      <c r="C23" s="84">
        <v>23</v>
      </c>
      <c r="R23">
        <v>2870</v>
      </c>
      <c r="T23">
        <f t="shared" si="0"/>
        <v>2870</v>
      </c>
    </row>
    <row r="24" spans="1:20">
      <c r="A24" t="s">
        <v>136</v>
      </c>
      <c r="B24">
        <v>6304</v>
      </c>
      <c r="C24" s="84" t="s">
        <v>115</v>
      </c>
      <c r="M24">
        <v>4913</v>
      </c>
      <c r="R24">
        <v>1391</v>
      </c>
      <c r="T24">
        <f t="shared" si="0"/>
        <v>6304</v>
      </c>
    </row>
    <row r="25" spans="1:20">
      <c r="A25" t="s">
        <v>137</v>
      </c>
      <c r="B25">
        <v>6173</v>
      </c>
      <c r="C25" s="84">
        <v>13</v>
      </c>
      <c r="Q25">
        <v>6173</v>
      </c>
      <c r="T25">
        <f t="shared" si="0"/>
        <v>6173</v>
      </c>
    </row>
    <row r="26" spans="1:20">
      <c r="A26" t="s">
        <v>138</v>
      </c>
      <c r="B26">
        <v>66</v>
      </c>
      <c r="C26" s="84">
        <v>0</v>
      </c>
      <c r="S26">
        <v>66</v>
      </c>
      <c r="T26">
        <f t="shared" si="0"/>
        <v>66</v>
      </c>
    </row>
    <row r="27" spans="1:20">
      <c r="A27" t="s">
        <v>139</v>
      </c>
      <c r="B27">
        <v>29</v>
      </c>
      <c r="C27" s="84">
        <v>23</v>
      </c>
      <c r="R27">
        <v>29</v>
      </c>
      <c r="T27">
        <f t="shared" si="0"/>
        <v>29</v>
      </c>
    </row>
    <row r="28" spans="1:20">
      <c r="A28" t="s">
        <v>140</v>
      </c>
      <c r="B28">
        <v>4775</v>
      </c>
      <c r="C28" s="84">
        <v>23</v>
      </c>
      <c r="R28">
        <v>4775</v>
      </c>
      <c r="T28">
        <f t="shared" si="0"/>
        <v>4775</v>
      </c>
    </row>
    <row r="29" spans="1:20">
      <c r="A29" t="s">
        <v>141</v>
      </c>
      <c r="B29">
        <v>599</v>
      </c>
      <c r="C29" s="84">
        <v>23</v>
      </c>
      <c r="R29">
        <v>599</v>
      </c>
      <c r="T29">
        <f t="shared" si="0"/>
        <v>599</v>
      </c>
    </row>
    <row r="30" spans="1:20">
      <c r="A30" t="s">
        <v>142</v>
      </c>
      <c r="B30">
        <v>458</v>
      </c>
      <c r="C30" s="84">
        <v>23</v>
      </c>
      <c r="R30">
        <v>458</v>
      </c>
      <c r="T30">
        <f t="shared" si="0"/>
        <v>458</v>
      </c>
    </row>
    <row r="31" spans="1:20">
      <c r="A31" t="s">
        <v>143</v>
      </c>
      <c r="B31">
        <v>869</v>
      </c>
      <c r="C31" s="84">
        <v>23</v>
      </c>
      <c r="R31">
        <v>869</v>
      </c>
      <c r="T31">
        <f t="shared" si="0"/>
        <v>869</v>
      </c>
    </row>
    <row r="32" spans="1:20">
      <c r="A32" t="s">
        <v>144</v>
      </c>
      <c r="B32">
        <v>3042</v>
      </c>
      <c r="C32" s="84" t="s">
        <v>115</v>
      </c>
      <c r="Q32">
        <v>1978</v>
      </c>
      <c r="S32">
        <v>1064</v>
      </c>
      <c r="T32">
        <f t="shared" si="0"/>
        <v>3042</v>
      </c>
    </row>
    <row r="33" spans="1:20">
      <c r="A33" t="s">
        <v>145</v>
      </c>
      <c r="B33">
        <v>1052</v>
      </c>
      <c r="C33" s="84" t="s">
        <v>115</v>
      </c>
      <c r="G33">
        <v>389</v>
      </c>
      <c r="H33">
        <v>465</v>
      </c>
      <c r="S33">
        <v>198</v>
      </c>
      <c r="T33">
        <f t="shared" si="0"/>
        <v>1052</v>
      </c>
    </row>
    <row r="34" spans="1:20">
      <c r="A34" t="s">
        <v>146</v>
      </c>
      <c r="B34">
        <v>716</v>
      </c>
      <c r="C34" s="84">
        <v>6.5</v>
      </c>
      <c r="N34">
        <v>716</v>
      </c>
      <c r="T34">
        <f t="shared" si="0"/>
        <v>716</v>
      </c>
    </row>
    <row r="35" spans="1:20">
      <c r="A35" t="s">
        <v>147</v>
      </c>
      <c r="B35">
        <v>669</v>
      </c>
      <c r="C35" s="84">
        <v>0</v>
      </c>
      <c r="S35">
        <v>669</v>
      </c>
      <c r="T35">
        <f t="shared" si="0"/>
        <v>669</v>
      </c>
    </row>
    <row r="36" spans="1:20">
      <c r="A36" t="s">
        <v>148</v>
      </c>
      <c r="B36">
        <v>1437</v>
      </c>
      <c r="C36" s="84">
        <v>0</v>
      </c>
      <c r="S36">
        <v>1437</v>
      </c>
      <c r="T36">
        <f t="shared" si="0"/>
        <v>1437</v>
      </c>
    </row>
    <row r="37" spans="1:20">
      <c r="A37" t="s">
        <v>149</v>
      </c>
      <c r="B37">
        <v>213</v>
      </c>
      <c r="C37" s="84">
        <v>0</v>
      </c>
      <c r="S37">
        <v>213</v>
      </c>
      <c r="T37">
        <f t="shared" si="0"/>
        <v>213</v>
      </c>
    </row>
    <row r="38" spans="1:20">
      <c r="A38" t="s">
        <v>150</v>
      </c>
      <c r="B38">
        <v>307</v>
      </c>
      <c r="C38" s="84">
        <v>0</v>
      </c>
      <c r="S38">
        <v>307</v>
      </c>
      <c r="T38">
        <f t="shared" si="0"/>
        <v>307</v>
      </c>
    </row>
    <row r="39" spans="1:20">
      <c r="A39" t="s">
        <v>151</v>
      </c>
      <c r="B39">
        <v>293</v>
      </c>
      <c r="C39" s="84">
        <v>0</v>
      </c>
      <c r="S39">
        <v>293</v>
      </c>
      <c r="T39">
        <f t="shared" si="0"/>
        <v>293</v>
      </c>
    </row>
    <row r="40" spans="1:20">
      <c r="A40" t="s">
        <v>152</v>
      </c>
      <c r="B40">
        <v>14331</v>
      </c>
      <c r="C40" s="84">
        <v>13</v>
      </c>
      <c r="O40">
        <v>14331</v>
      </c>
      <c r="T40">
        <f t="shared" si="0"/>
        <v>14331</v>
      </c>
    </row>
    <row r="41" spans="1:20">
      <c r="A41" t="s">
        <v>153</v>
      </c>
      <c r="B41">
        <v>3162</v>
      </c>
      <c r="C41" s="84">
        <v>6.5</v>
      </c>
      <c r="N41">
        <v>3162</v>
      </c>
      <c r="T41">
        <f t="shared" si="0"/>
        <v>3162</v>
      </c>
    </row>
    <row r="42" spans="1:20">
      <c r="A42" t="s">
        <v>154</v>
      </c>
      <c r="B42">
        <v>2847</v>
      </c>
      <c r="C42" s="84">
        <v>23</v>
      </c>
      <c r="R42">
        <v>2847</v>
      </c>
      <c r="T42">
        <f t="shared" si="0"/>
        <v>2847</v>
      </c>
    </row>
    <row r="43" spans="1:20">
      <c r="A43" t="s">
        <v>155</v>
      </c>
      <c r="B43">
        <v>800</v>
      </c>
      <c r="C43" s="84">
        <v>23</v>
      </c>
      <c r="R43">
        <v>800</v>
      </c>
      <c r="T43">
        <f t="shared" si="0"/>
        <v>800</v>
      </c>
    </row>
    <row r="44" spans="1:20">
      <c r="A44" t="s">
        <v>156</v>
      </c>
      <c r="B44">
        <v>472</v>
      </c>
      <c r="C44" s="84">
        <v>0</v>
      </c>
      <c r="S44">
        <v>472</v>
      </c>
      <c r="T44">
        <f t="shared" si="0"/>
        <v>472</v>
      </c>
    </row>
    <row r="45" spans="1:20">
      <c r="A45" t="s">
        <v>157</v>
      </c>
      <c r="B45">
        <v>1890</v>
      </c>
      <c r="C45" s="84">
        <v>0</v>
      </c>
      <c r="S45">
        <v>1890</v>
      </c>
      <c r="T45">
        <f t="shared" si="0"/>
        <v>1890</v>
      </c>
    </row>
    <row r="46" spans="1:20">
      <c r="A46" t="s">
        <v>158</v>
      </c>
      <c r="B46">
        <v>2344</v>
      </c>
      <c r="C46" s="84">
        <v>0</v>
      </c>
      <c r="S46">
        <v>2344</v>
      </c>
      <c r="T46">
        <f t="shared" si="0"/>
        <v>2344</v>
      </c>
    </row>
    <row r="47" spans="1:20">
      <c r="A47" t="s">
        <v>159</v>
      </c>
      <c r="B47">
        <v>2034</v>
      </c>
      <c r="C47" s="84">
        <v>23</v>
      </c>
      <c r="R47">
        <v>2034</v>
      </c>
      <c r="T47">
        <f t="shared" si="0"/>
        <v>2034</v>
      </c>
    </row>
    <row r="48" spans="1:20">
      <c r="B48">
        <f>SUM(B3:B47)</f>
        <v>132853</v>
      </c>
      <c r="E48">
        <f t="shared" ref="E48:T48" si="1">SUM(E3:E47)</f>
        <v>7407</v>
      </c>
      <c r="F48">
        <f t="shared" si="1"/>
        <v>14652</v>
      </c>
      <c r="G48">
        <f t="shared" si="1"/>
        <v>389</v>
      </c>
      <c r="H48">
        <f t="shared" si="1"/>
        <v>465</v>
      </c>
      <c r="I48">
        <f t="shared" si="1"/>
        <v>1843</v>
      </c>
      <c r="J48">
        <f t="shared" si="1"/>
        <v>3326</v>
      </c>
      <c r="K48">
        <f t="shared" si="1"/>
        <v>1206</v>
      </c>
      <c r="L48">
        <f t="shared" si="1"/>
        <v>4552</v>
      </c>
      <c r="M48">
        <f t="shared" si="1"/>
        <v>4913</v>
      </c>
      <c r="N48">
        <f t="shared" si="1"/>
        <v>3878</v>
      </c>
      <c r="O48">
        <f t="shared" si="1"/>
        <v>14331</v>
      </c>
      <c r="P48">
        <f t="shared" si="1"/>
        <v>4478</v>
      </c>
      <c r="Q48">
        <f t="shared" si="1"/>
        <v>9850</v>
      </c>
      <c r="R48">
        <f t="shared" si="1"/>
        <v>27658</v>
      </c>
      <c r="S48">
        <f t="shared" si="1"/>
        <v>33905</v>
      </c>
      <c r="T48">
        <f t="shared" si="1"/>
        <v>132853</v>
      </c>
    </row>
  </sheetData>
  <pageMargins left="0.7" right="0.7" top="0.75" bottom="0.75" header="0.51180555555555496" footer="0.51180555555555496"/>
  <pageSetup paperSize="0" scale="0" firstPageNumber="0" orientation="portrait" usePrinterDefaults="0" horizontalDpi="0" verticalDpi="0" copie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workbookViewId="0">
      <selection activeCell="E16" sqref="E16"/>
    </sheetView>
  </sheetViews>
  <sheetFormatPr baseColWidth="10" defaultColWidth="8.83203125" defaultRowHeight="14" x14ac:dyDescent="0"/>
  <cols>
    <col min="2" max="9" width="8.83203125" style="83"/>
  </cols>
  <sheetData>
    <row r="1" spans="1:9">
      <c r="B1" s="84" t="s">
        <v>37</v>
      </c>
      <c r="C1"/>
      <c r="D1" s="61" t="s">
        <v>23</v>
      </c>
      <c r="E1" s="61" t="s">
        <v>26</v>
      </c>
      <c r="F1" s="61" t="s">
        <v>43</v>
      </c>
      <c r="G1" s="61" t="s">
        <v>45</v>
      </c>
      <c r="H1" s="61" t="s">
        <v>47</v>
      </c>
      <c r="I1" s="61" t="s">
        <v>49</v>
      </c>
    </row>
    <row r="2" spans="1:9">
      <c r="A2" t="s">
        <v>160</v>
      </c>
      <c r="B2" s="86">
        <v>373522493</v>
      </c>
      <c r="C2" s="87">
        <f t="shared" ref="C2:C15" si="0">B2/$B$15</f>
        <v>4.8397763110019705E-2</v>
      </c>
      <c r="D2" s="84" t="s">
        <v>161</v>
      </c>
      <c r="E2" s="84" t="s">
        <v>162</v>
      </c>
      <c r="F2" s="84" t="s">
        <v>163</v>
      </c>
      <c r="G2" s="84" t="s">
        <v>164</v>
      </c>
      <c r="H2" s="84" t="s">
        <v>165</v>
      </c>
      <c r="I2" s="84" t="s">
        <v>166</v>
      </c>
    </row>
    <row r="3" spans="1:9">
      <c r="A3" t="s">
        <v>167</v>
      </c>
      <c r="B3" s="86">
        <v>1183793200</v>
      </c>
      <c r="C3" s="87">
        <f t="shared" si="0"/>
        <v>0.15338552279595163</v>
      </c>
      <c r="D3" s="84" t="s">
        <v>168</v>
      </c>
      <c r="E3" s="84" t="s">
        <v>169</v>
      </c>
      <c r="F3" s="84" t="s">
        <v>170</v>
      </c>
      <c r="G3" s="84" t="s">
        <v>171</v>
      </c>
      <c r="H3" s="84" t="s">
        <v>172</v>
      </c>
      <c r="I3" s="84" t="s">
        <v>173</v>
      </c>
    </row>
    <row r="4" spans="1:9">
      <c r="A4" t="s">
        <v>174</v>
      </c>
      <c r="B4" s="86">
        <v>73430286</v>
      </c>
      <c r="C4" s="87">
        <f t="shared" si="0"/>
        <v>9.5144513477237805E-3</v>
      </c>
      <c r="D4" s="84" t="s">
        <v>175</v>
      </c>
      <c r="E4" s="84" t="s">
        <v>176</v>
      </c>
      <c r="F4" s="84" t="s">
        <v>177</v>
      </c>
      <c r="G4" s="84" t="s">
        <v>178</v>
      </c>
      <c r="H4" s="84" t="s">
        <v>179</v>
      </c>
      <c r="I4" s="84" t="s">
        <v>180</v>
      </c>
    </row>
    <row r="5" spans="1:9">
      <c r="A5" t="s">
        <v>181</v>
      </c>
      <c r="B5" s="86">
        <v>165656684</v>
      </c>
      <c r="C5" s="87">
        <f t="shared" si="0"/>
        <v>2.1464337757628404E-2</v>
      </c>
      <c r="D5" s="84" t="s">
        <v>182</v>
      </c>
      <c r="E5" s="84" t="s">
        <v>183</v>
      </c>
      <c r="F5" s="84" t="s">
        <v>184</v>
      </c>
      <c r="G5" s="84" t="s">
        <v>185</v>
      </c>
      <c r="H5" s="84" t="s">
        <v>186</v>
      </c>
      <c r="I5" s="84" t="s">
        <v>187</v>
      </c>
    </row>
    <row r="6" spans="1:9">
      <c r="A6" t="s">
        <v>188</v>
      </c>
      <c r="B6" s="86">
        <v>113181275</v>
      </c>
      <c r="C6" s="87">
        <f t="shared" si="0"/>
        <v>1.466503527523842E-2</v>
      </c>
      <c r="D6" s="84" t="s">
        <v>189</v>
      </c>
      <c r="E6" s="84" t="s">
        <v>190</v>
      </c>
      <c r="F6" s="84" t="s">
        <v>191</v>
      </c>
      <c r="G6" s="84" t="s">
        <v>192</v>
      </c>
      <c r="H6" s="84" t="s">
        <v>193</v>
      </c>
      <c r="I6" s="84" t="s">
        <v>194</v>
      </c>
    </row>
    <row r="7" spans="1:9">
      <c r="A7" t="s">
        <v>195</v>
      </c>
      <c r="B7" s="86">
        <v>745345801</v>
      </c>
      <c r="C7" s="87">
        <f t="shared" si="0"/>
        <v>9.6575360755706594E-2</v>
      </c>
      <c r="D7" s="84" t="s">
        <v>196</v>
      </c>
      <c r="E7" s="84" t="s">
        <v>197</v>
      </c>
      <c r="F7" s="84" t="s">
        <v>198</v>
      </c>
      <c r="G7" s="84" t="s">
        <v>199</v>
      </c>
      <c r="H7" s="84" t="s">
        <v>200</v>
      </c>
      <c r="I7" s="84" t="s">
        <v>201</v>
      </c>
    </row>
    <row r="8" spans="1:9">
      <c r="A8" t="s">
        <v>202</v>
      </c>
      <c r="B8" s="86">
        <v>82447452</v>
      </c>
      <c r="C8" s="87">
        <f t="shared" si="0"/>
        <v>1.068281649887339E-2</v>
      </c>
      <c r="D8" s="84" t="s">
        <v>203</v>
      </c>
      <c r="E8" s="84" t="s">
        <v>204</v>
      </c>
      <c r="F8" s="84" t="s">
        <v>205</v>
      </c>
      <c r="G8" s="84" t="s">
        <v>206</v>
      </c>
      <c r="H8" s="84" t="s">
        <v>207</v>
      </c>
      <c r="I8" s="84" t="s">
        <v>208</v>
      </c>
    </row>
    <row r="9" spans="1:9">
      <c r="A9" t="s">
        <v>209</v>
      </c>
      <c r="B9" s="86">
        <v>71604411</v>
      </c>
      <c r="C9" s="87">
        <f t="shared" si="0"/>
        <v>9.2778705062093528E-3</v>
      </c>
      <c r="D9" s="84" t="s">
        <v>210</v>
      </c>
      <c r="E9" s="84" t="s">
        <v>211</v>
      </c>
      <c r="F9" s="84" t="s">
        <v>212</v>
      </c>
      <c r="G9" s="84" t="s">
        <v>213</v>
      </c>
      <c r="H9" s="84" t="s">
        <v>214</v>
      </c>
      <c r="I9" s="84" t="s">
        <v>215</v>
      </c>
    </row>
    <row r="10" spans="1:9">
      <c r="A10" t="s">
        <v>216</v>
      </c>
      <c r="B10" s="86">
        <v>164160688</v>
      </c>
      <c r="C10" s="87">
        <f t="shared" si="0"/>
        <v>2.1270499738825246E-2</v>
      </c>
      <c r="D10" s="84" t="s">
        <v>217</v>
      </c>
      <c r="E10" s="84" t="s">
        <v>218</v>
      </c>
      <c r="F10" s="84" t="s">
        <v>219</v>
      </c>
      <c r="G10" s="84" t="s">
        <v>220</v>
      </c>
      <c r="H10" s="84" t="s">
        <v>221</v>
      </c>
      <c r="I10" s="84" t="s">
        <v>222</v>
      </c>
    </row>
    <row r="11" spans="1:9">
      <c r="A11" t="s">
        <v>223</v>
      </c>
      <c r="B11" s="86">
        <v>937612169</v>
      </c>
      <c r="C11" s="87">
        <f t="shared" si="0"/>
        <v>0.12148754759016284</v>
      </c>
      <c r="D11" s="84" t="s">
        <v>224</v>
      </c>
      <c r="E11" s="84" t="s">
        <v>225</v>
      </c>
      <c r="F11" s="84" t="s">
        <v>226</v>
      </c>
      <c r="G11" s="84" t="s">
        <v>227</v>
      </c>
      <c r="H11" s="84" t="s">
        <v>228</v>
      </c>
      <c r="I11" s="84" t="s">
        <v>229</v>
      </c>
    </row>
    <row r="12" spans="1:9">
      <c r="A12" t="s">
        <v>230</v>
      </c>
      <c r="B12" s="86">
        <v>49344788</v>
      </c>
      <c r="C12" s="87">
        <f t="shared" si="0"/>
        <v>6.3936641168705821E-3</v>
      </c>
      <c r="D12" s="84" t="s">
        <v>231</v>
      </c>
      <c r="E12" s="84" t="s">
        <v>232</v>
      </c>
      <c r="F12" s="84" t="s">
        <v>233</v>
      </c>
      <c r="G12" s="84" t="s">
        <v>234</v>
      </c>
      <c r="H12" s="84" t="s">
        <v>235</v>
      </c>
      <c r="I12" s="84" t="s">
        <v>236</v>
      </c>
    </row>
    <row r="13" spans="1:9">
      <c r="A13" t="s">
        <v>237</v>
      </c>
      <c r="B13" s="86">
        <v>2058338682</v>
      </c>
      <c r="C13" s="87">
        <f t="shared" si="0"/>
        <v>0.26670144314876959</v>
      </c>
      <c r="D13" s="84" t="s">
        <v>238</v>
      </c>
      <c r="E13" s="84" t="s">
        <v>239</v>
      </c>
      <c r="F13" s="84" t="s">
        <v>240</v>
      </c>
      <c r="G13" s="84" t="s">
        <v>241</v>
      </c>
      <c r="H13" s="84" t="s">
        <v>242</v>
      </c>
      <c r="I13" s="84" t="s">
        <v>243</v>
      </c>
    </row>
    <row r="14" spans="1:9">
      <c r="A14" t="s">
        <v>244</v>
      </c>
      <c r="B14" s="86">
        <v>1699325641</v>
      </c>
      <c r="C14" s="87">
        <f t="shared" si="0"/>
        <v>0.22018368735802049</v>
      </c>
      <c r="D14" s="84" t="s">
        <v>245</v>
      </c>
      <c r="E14" s="84" t="s">
        <v>246</v>
      </c>
      <c r="F14" s="84" t="s">
        <v>247</v>
      </c>
      <c r="G14" s="84" t="s">
        <v>248</v>
      </c>
      <c r="H14" s="84" t="s">
        <v>249</v>
      </c>
      <c r="I14" s="84" t="s">
        <v>250</v>
      </c>
    </row>
    <row r="15" spans="1:9">
      <c r="B15" s="88">
        <f>SUM(B2:B14)</f>
        <v>7717763570</v>
      </c>
      <c r="C15" s="87">
        <f t="shared" si="0"/>
        <v>1</v>
      </c>
      <c r="D15" s="86"/>
      <c r="E15" s="87"/>
      <c r="F15"/>
      <c r="G15"/>
      <c r="H15"/>
    </row>
    <row r="16" spans="1:9">
      <c r="D16"/>
      <c r="E16"/>
      <c r="F16"/>
      <c r="G16"/>
      <c r="H16"/>
    </row>
    <row r="17" spans="1:8">
      <c r="A17" t="s">
        <v>251</v>
      </c>
      <c r="D17" s="89"/>
      <c r="E17" s="89"/>
      <c r="F17" s="89"/>
      <c r="G17" s="89"/>
      <c r="H17" s="89"/>
    </row>
  </sheetData>
  <pageMargins left="0.7" right="0.7" top="0.75" bottom="0.75" header="0.51180555555555496" footer="0.51180555555555496"/>
  <pageSetup paperSize="0" scale="0" firstPageNumber="0" orientation="portrait" usePrinterDefaults="0" horizontalDpi="0" verticalDpi="0" copie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32</TotalTime>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Data &amp; Assumptions</vt:lpstr>
      <vt:lpstr>New rates &amp; Overrides</vt:lpstr>
      <vt:lpstr>Results summary</vt:lpstr>
      <vt:lpstr>C_Distribution</vt:lpstr>
      <vt:lpstr>Model</vt:lpstr>
      <vt:lpstr>Distribution</vt:lpstr>
      <vt:lpstr>EurostatBase</vt:lpstr>
      <vt:lpstr>Tourist spending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Harinos</dc:creator>
  <cp:lastModifiedBy>Yanis Varoufakis</cp:lastModifiedBy>
  <cp:revision>1</cp:revision>
  <cp:lastPrinted>2015-05-27T12:22:55Z</cp:lastPrinted>
  <dcterms:created xsi:type="dcterms:W3CDTF">2015-05-15T19:47:32Z</dcterms:created>
  <dcterms:modified xsi:type="dcterms:W3CDTF">2016-08-25T15:37:44Z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